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gillera/Documents/GitHub/binder/truck-app/"/>
    </mc:Choice>
  </mc:AlternateContent>
  <xr:revisionPtr revIDLastSave="0" documentId="8_{3D4E57AC-2829-634A-89B7-361049F6DC8C}" xr6:coauthVersionLast="45" xr6:coauthVersionMax="45" xr10:uidLastSave="{00000000-0000-0000-0000-000000000000}"/>
  <bookViews>
    <workbookView xWindow="5020" yWindow="460" windowWidth="29040" windowHeight="15840" tabRatio="749" activeTab="3" xr2:uid="{00000000-000D-0000-FFFF-FFFF00000000}"/>
  </bookViews>
  <sheets>
    <sheet name="TRUCK inputs - sleeper" sheetId="4" r:id="rId1"/>
    <sheet name="TRUCK inputs - day" sheetId="10" r:id="rId2"/>
    <sheet name="TRUCK inputs - 8 voc" sheetId="11" r:id="rId3"/>
    <sheet name="TRUCK inputs - 6 voc" sheetId="12" r:id="rId4"/>
    <sheet name="Class 8 Sleeper Cab" sheetId="1" r:id="rId5"/>
    <sheet name="Class 8 Day Cab" sheetId="7" r:id="rId6"/>
    <sheet name="Class 8 Box Truck" sheetId="8" r:id="rId7"/>
    <sheet name="Class 6 Box Truck" sheetId="9" r:id="rId8"/>
    <sheet name="Sheet1" sheetId="6" r:id="rId9"/>
    <sheet name="aero cost" sheetId="5" r:id="rId10"/>
    <sheet name="Constant" sheetId="3" r:id="rId11"/>
    <sheet name="Fuel Converter Efficiency" sheetId="2" r:id="rId12"/>
  </sheets>
  <externalReferences>
    <externalReference r:id="rId13"/>
  </externalReferences>
  <definedNames>
    <definedName name="_xlnm._FilterDatabase" localSheetId="4" hidden="1">'Class 8 Sleeper Cab'!$A$3:$A$76</definedName>
    <definedName name="Aero_coef_high">'aero cost'!$AC$6:$AE$14</definedName>
    <definedName name="Aero_coef_low">'aero cost'!$W$6:$Y$14</definedName>
    <definedName name="Aero_coef_mid">'aero cost'!$Z$6:$AB$14</definedName>
    <definedName name="Aero_Cost_list">Constant!$B$29:$B$31</definedName>
    <definedName name="Cd_Base">'aero cost'!$T$6:$T$14</definedName>
    <definedName name="Class_list">'aero cost'!$S$6:$S$14</definedName>
    <definedName name="day_classes">[1]lists!$H$28:$H$33</definedName>
    <definedName name="day_shares">[1]lists!$J$28:$M$33</definedName>
    <definedName name="dge2kWh">Constant!$D$17</definedName>
    <definedName name="vehKg" localSheetId="10">Constant!$C$124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6" i="11" l="1"/>
  <c r="AE104" i="12" l="1"/>
  <c r="AD104" i="12"/>
  <c r="AC104" i="12"/>
  <c r="Y104" i="12"/>
  <c r="S104" i="12"/>
  <c r="R104" i="12"/>
  <c r="Q104" i="12"/>
  <c r="P104" i="12"/>
  <c r="O104" i="12"/>
  <c r="N104" i="12"/>
  <c r="K104" i="12"/>
  <c r="J104" i="12"/>
  <c r="I104" i="12"/>
  <c r="H104" i="12"/>
  <c r="M104" i="12" s="1"/>
  <c r="G104" i="12"/>
  <c r="L104" i="12" s="1"/>
  <c r="F104" i="12"/>
  <c r="E104" i="12"/>
  <c r="D104" i="12"/>
  <c r="C104" i="12"/>
  <c r="AE103" i="12"/>
  <c r="AD103" i="12"/>
  <c r="AC103" i="12"/>
  <c r="Y103" i="12"/>
  <c r="S103" i="12"/>
  <c r="R103" i="12"/>
  <c r="Q103" i="12"/>
  <c r="P103" i="12"/>
  <c r="O103" i="12"/>
  <c r="N103" i="12"/>
  <c r="M103" i="12"/>
  <c r="L103" i="12"/>
  <c r="H103" i="12"/>
  <c r="G103" i="12"/>
  <c r="F103" i="12"/>
  <c r="K103" i="12" s="1"/>
  <c r="E103" i="12"/>
  <c r="J103" i="12" s="1"/>
  <c r="D103" i="12"/>
  <c r="I103" i="12" s="1"/>
  <c r="C103" i="12"/>
  <c r="AE102" i="12"/>
  <c r="AD102" i="12"/>
  <c r="AC102" i="12"/>
  <c r="Y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E101" i="12"/>
  <c r="AD101" i="12"/>
  <c r="AC101" i="12"/>
  <c r="Y101" i="12"/>
  <c r="S101" i="12"/>
  <c r="R101" i="12"/>
  <c r="Q101" i="12"/>
  <c r="P101" i="12"/>
  <c r="O101" i="12"/>
  <c r="N101" i="12"/>
  <c r="J101" i="12"/>
  <c r="I101" i="12"/>
  <c r="H101" i="12"/>
  <c r="M101" i="12" s="1"/>
  <c r="G101" i="12"/>
  <c r="L101" i="12" s="1"/>
  <c r="F101" i="12"/>
  <c r="K101" i="12" s="1"/>
  <c r="E101" i="12"/>
  <c r="D101" i="12"/>
  <c r="C101" i="12"/>
  <c r="AE100" i="12"/>
  <c r="AD100" i="12"/>
  <c r="AC100" i="12"/>
  <c r="Y100" i="12"/>
  <c r="S100" i="12"/>
  <c r="R100" i="12"/>
  <c r="Q100" i="12"/>
  <c r="P100" i="12"/>
  <c r="O100" i="12"/>
  <c r="N100" i="12"/>
  <c r="M100" i="12"/>
  <c r="L100" i="12"/>
  <c r="K100" i="12"/>
  <c r="H100" i="12"/>
  <c r="G100" i="12"/>
  <c r="F100" i="12"/>
  <c r="E100" i="12"/>
  <c r="J100" i="12" s="1"/>
  <c r="D100" i="12"/>
  <c r="I100" i="12" s="1"/>
  <c r="C100" i="12"/>
  <c r="AE99" i="12"/>
  <c r="AD99" i="12"/>
  <c r="AC99" i="12"/>
  <c r="Y99" i="12"/>
  <c r="S99" i="12"/>
  <c r="R99" i="12"/>
  <c r="Q99" i="12"/>
  <c r="P99" i="12"/>
  <c r="O99" i="12"/>
  <c r="N99" i="12"/>
  <c r="L99" i="12"/>
  <c r="K99" i="12"/>
  <c r="J99" i="12"/>
  <c r="I99" i="12"/>
  <c r="H99" i="12"/>
  <c r="M99" i="12" s="1"/>
  <c r="G99" i="12"/>
  <c r="F99" i="12"/>
  <c r="E99" i="12"/>
  <c r="D99" i="12"/>
  <c r="C99" i="12"/>
  <c r="AE98" i="12"/>
  <c r="AD98" i="12"/>
  <c r="AC98" i="12"/>
  <c r="Y98" i="12"/>
  <c r="S98" i="12"/>
  <c r="R98" i="12"/>
  <c r="Q98" i="12"/>
  <c r="P98" i="12"/>
  <c r="O98" i="12"/>
  <c r="N98" i="12"/>
  <c r="M98" i="12"/>
  <c r="I98" i="12"/>
  <c r="H98" i="12"/>
  <c r="G98" i="12"/>
  <c r="L98" i="12" s="1"/>
  <c r="F98" i="12"/>
  <c r="K98" i="12" s="1"/>
  <c r="E98" i="12"/>
  <c r="J98" i="12" s="1"/>
  <c r="D98" i="12"/>
  <c r="C98" i="12"/>
  <c r="AE97" i="12"/>
  <c r="AD97" i="12"/>
  <c r="AC97" i="12"/>
  <c r="Y97" i="12"/>
  <c r="S97" i="12"/>
  <c r="R97" i="12"/>
  <c r="Q97" i="12"/>
  <c r="P97" i="12"/>
  <c r="O97" i="12"/>
  <c r="N97" i="12"/>
  <c r="M97" i="12"/>
  <c r="L97" i="12"/>
  <c r="K97" i="12"/>
  <c r="J97" i="12"/>
  <c r="H97" i="12"/>
  <c r="G97" i="12"/>
  <c r="F97" i="12"/>
  <c r="E97" i="12"/>
  <c r="D97" i="12"/>
  <c r="I97" i="12" s="1"/>
  <c r="C97" i="12"/>
  <c r="AE96" i="12"/>
  <c r="AD96" i="12"/>
  <c r="AC96" i="12"/>
  <c r="Y96" i="12"/>
  <c r="S96" i="12"/>
  <c r="R96" i="12"/>
  <c r="Q96" i="12"/>
  <c r="P96" i="12"/>
  <c r="O96" i="12"/>
  <c r="N96" i="12"/>
  <c r="K96" i="12"/>
  <c r="J96" i="12"/>
  <c r="I96" i="12"/>
  <c r="H96" i="12"/>
  <c r="M96" i="12" s="1"/>
  <c r="G96" i="12"/>
  <c r="L96" i="12" s="1"/>
  <c r="F96" i="12"/>
  <c r="E96" i="12"/>
  <c r="D96" i="12"/>
  <c r="C96" i="12"/>
  <c r="AE95" i="12"/>
  <c r="AD95" i="12"/>
  <c r="AC95" i="12"/>
  <c r="Y95" i="12"/>
  <c r="S95" i="12"/>
  <c r="R95" i="12"/>
  <c r="Q95" i="12"/>
  <c r="P95" i="12"/>
  <c r="O95" i="12"/>
  <c r="N95" i="12"/>
  <c r="M95" i="12"/>
  <c r="L95" i="12"/>
  <c r="H95" i="12"/>
  <c r="G95" i="12"/>
  <c r="F95" i="12"/>
  <c r="K95" i="12" s="1"/>
  <c r="E95" i="12"/>
  <c r="J95" i="12" s="1"/>
  <c r="D95" i="12"/>
  <c r="I95" i="12" s="1"/>
  <c r="C95" i="12"/>
  <c r="AE94" i="12"/>
  <c r="AD94" i="12"/>
  <c r="AC94" i="12"/>
  <c r="Y94" i="12"/>
  <c r="S94" i="12"/>
  <c r="R94" i="12"/>
  <c r="Q94" i="12"/>
  <c r="P94" i="12"/>
  <c r="O94" i="12"/>
  <c r="N94" i="12"/>
  <c r="M94" i="12"/>
  <c r="K94" i="12"/>
  <c r="J94" i="12"/>
  <c r="I94" i="12"/>
  <c r="H94" i="12"/>
  <c r="G94" i="12"/>
  <c r="L94" i="12" s="1"/>
  <c r="F94" i="12"/>
  <c r="E94" i="12"/>
  <c r="D94" i="12"/>
  <c r="C94" i="12"/>
  <c r="AE93" i="12"/>
  <c r="AD93" i="12"/>
  <c r="AC93" i="12"/>
  <c r="Y93" i="12"/>
  <c r="S93" i="12"/>
  <c r="R93" i="12"/>
  <c r="Q93" i="12"/>
  <c r="P93" i="12"/>
  <c r="O93" i="12"/>
  <c r="N93" i="12"/>
  <c r="J93" i="12"/>
  <c r="H93" i="12"/>
  <c r="M93" i="12" s="1"/>
  <c r="G93" i="12"/>
  <c r="L93" i="12" s="1"/>
  <c r="F93" i="12"/>
  <c r="K93" i="12" s="1"/>
  <c r="E93" i="12"/>
  <c r="D93" i="12"/>
  <c r="I93" i="12" s="1"/>
  <c r="C93" i="12"/>
  <c r="AE92" i="12"/>
  <c r="AD92" i="12"/>
  <c r="AC92" i="12"/>
  <c r="Y92" i="12"/>
  <c r="S92" i="12"/>
  <c r="R92" i="12"/>
  <c r="Q92" i="12"/>
  <c r="P92" i="12"/>
  <c r="O92" i="12"/>
  <c r="N92" i="12"/>
  <c r="M92" i="12"/>
  <c r="L92" i="12"/>
  <c r="K92" i="12"/>
  <c r="H92" i="12"/>
  <c r="G92" i="12"/>
  <c r="F92" i="12"/>
  <c r="E92" i="12"/>
  <c r="J92" i="12" s="1"/>
  <c r="D92" i="12"/>
  <c r="I92" i="12" s="1"/>
  <c r="C92" i="12"/>
  <c r="AE91" i="12"/>
  <c r="AD91" i="12"/>
  <c r="AC91" i="12"/>
  <c r="Y91" i="12"/>
  <c r="S91" i="12"/>
  <c r="R91" i="12"/>
  <c r="Q91" i="12"/>
  <c r="P91" i="12"/>
  <c r="O91" i="12"/>
  <c r="N91" i="12"/>
  <c r="L91" i="12"/>
  <c r="J91" i="12"/>
  <c r="I91" i="12"/>
  <c r="H91" i="12"/>
  <c r="M91" i="12" s="1"/>
  <c r="G91" i="12"/>
  <c r="F91" i="12"/>
  <c r="K91" i="12" s="1"/>
  <c r="E91" i="12"/>
  <c r="D91" i="12"/>
  <c r="C91" i="12"/>
  <c r="AE90" i="12"/>
  <c r="AD90" i="12"/>
  <c r="AC90" i="12"/>
  <c r="Y90" i="12"/>
  <c r="S90" i="12"/>
  <c r="R90" i="12"/>
  <c r="Q90" i="12"/>
  <c r="P90" i="12"/>
  <c r="O90" i="12"/>
  <c r="N90" i="12"/>
  <c r="M90" i="12"/>
  <c r="I90" i="12"/>
  <c r="H90" i="12"/>
  <c r="G90" i="12"/>
  <c r="L90" i="12" s="1"/>
  <c r="F90" i="12"/>
  <c r="K90" i="12" s="1"/>
  <c r="E90" i="12"/>
  <c r="J90" i="12" s="1"/>
  <c r="D90" i="12"/>
  <c r="C90" i="12"/>
  <c r="AE89" i="12"/>
  <c r="AD89" i="12"/>
  <c r="AC89" i="12"/>
  <c r="Y89" i="12"/>
  <c r="S89" i="12"/>
  <c r="R89" i="12"/>
  <c r="Q89" i="12"/>
  <c r="P89" i="12"/>
  <c r="O89" i="12"/>
  <c r="N89" i="12"/>
  <c r="L89" i="12"/>
  <c r="K89" i="12"/>
  <c r="J89" i="12"/>
  <c r="H89" i="12"/>
  <c r="M89" i="12" s="1"/>
  <c r="G89" i="12"/>
  <c r="F89" i="12"/>
  <c r="E89" i="12"/>
  <c r="D89" i="12"/>
  <c r="I89" i="12" s="1"/>
  <c r="C89" i="12"/>
  <c r="AE88" i="12"/>
  <c r="AD88" i="12"/>
  <c r="AC88" i="12"/>
  <c r="Y88" i="12"/>
  <c r="S88" i="12"/>
  <c r="R88" i="12"/>
  <c r="Q88" i="12"/>
  <c r="P88" i="12"/>
  <c r="O88" i="12"/>
  <c r="N88" i="12"/>
  <c r="K88" i="12"/>
  <c r="I88" i="12"/>
  <c r="H88" i="12"/>
  <c r="M88" i="12" s="1"/>
  <c r="G88" i="12"/>
  <c r="L88" i="12" s="1"/>
  <c r="F88" i="12"/>
  <c r="E88" i="12"/>
  <c r="J88" i="12" s="1"/>
  <c r="D88" i="12"/>
  <c r="C88" i="12"/>
  <c r="AE87" i="12"/>
  <c r="AD87" i="12"/>
  <c r="AC87" i="12"/>
  <c r="Y87" i="12"/>
  <c r="S87" i="12"/>
  <c r="R87" i="12"/>
  <c r="Q87" i="12"/>
  <c r="P87" i="12"/>
  <c r="O87" i="12"/>
  <c r="N87" i="12"/>
  <c r="M87" i="12"/>
  <c r="L87" i="12"/>
  <c r="H87" i="12"/>
  <c r="G87" i="12"/>
  <c r="F87" i="12"/>
  <c r="K87" i="12" s="1"/>
  <c r="E87" i="12"/>
  <c r="J87" i="12" s="1"/>
  <c r="D87" i="12"/>
  <c r="I87" i="12" s="1"/>
  <c r="C87" i="12"/>
  <c r="AE86" i="12"/>
  <c r="AD86" i="12"/>
  <c r="AC86" i="12"/>
  <c r="Y86" i="12"/>
  <c r="S86" i="12"/>
  <c r="R86" i="12"/>
  <c r="Q86" i="12"/>
  <c r="P86" i="12"/>
  <c r="O86" i="12"/>
  <c r="N86" i="12"/>
  <c r="M86" i="12"/>
  <c r="K86" i="12"/>
  <c r="J86" i="12"/>
  <c r="I86" i="12"/>
  <c r="H86" i="12"/>
  <c r="G86" i="12"/>
  <c r="L86" i="12" s="1"/>
  <c r="F86" i="12"/>
  <c r="E86" i="12"/>
  <c r="D86" i="12"/>
  <c r="C86" i="12"/>
  <c r="AE85" i="12"/>
  <c r="AD85" i="12"/>
  <c r="AC85" i="12"/>
  <c r="Y85" i="12"/>
  <c r="S85" i="12"/>
  <c r="R85" i="12"/>
  <c r="Q85" i="12"/>
  <c r="P85" i="12"/>
  <c r="O85" i="12"/>
  <c r="N85" i="12"/>
  <c r="J85" i="12"/>
  <c r="H85" i="12"/>
  <c r="M85" i="12" s="1"/>
  <c r="G85" i="12"/>
  <c r="L85" i="12" s="1"/>
  <c r="F85" i="12"/>
  <c r="K85" i="12" s="1"/>
  <c r="E85" i="12"/>
  <c r="D85" i="12"/>
  <c r="I85" i="12" s="1"/>
  <c r="C85" i="12"/>
  <c r="AE84" i="12"/>
  <c r="AD84" i="12"/>
  <c r="AC84" i="12"/>
  <c r="Y84" i="12"/>
  <c r="S84" i="12"/>
  <c r="R84" i="12"/>
  <c r="Q84" i="12"/>
  <c r="P84" i="12"/>
  <c r="O84" i="12"/>
  <c r="N84" i="12"/>
  <c r="M84" i="12"/>
  <c r="L84" i="12"/>
  <c r="K84" i="12"/>
  <c r="H84" i="12"/>
  <c r="G84" i="12"/>
  <c r="F84" i="12"/>
  <c r="E84" i="12"/>
  <c r="J84" i="12" s="1"/>
  <c r="D84" i="12"/>
  <c r="I84" i="12" s="1"/>
  <c r="C84" i="12"/>
  <c r="AE83" i="12"/>
  <c r="AD83" i="12"/>
  <c r="AC83" i="12"/>
  <c r="Y83" i="12"/>
  <c r="S83" i="12"/>
  <c r="R83" i="12"/>
  <c r="Q83" i="12"/>
  <c r="P83" i="12"/>
  <c r="O83" i="12"/>
  <c r="N83" i="12"/>
  <c r="L83" i="12"/>
  <c r="J83" i="12"/>
  <c r="I83" i="12"/>
  <c r="H83" i="12"/>
  <c r="M83" i="12" s="1"/>
  <c r="G83" i="12"/>
  <c r="F83" i="12"/>
  <c r="K83" i="12" s="1"/>
  <c r="E83" i="12"/>
  <c r="D83" i="12"/>
  <c r="C83" i="12"/>
  <c r="AE82" i="12"/>
  <c r="AD82" i="12"/>
  <c r="AC82" i="12"/>
  <c r="Y82" i="12"/>
  <c r="S82" i="12"/>
  <c r="R82" i="12"/>
  <c r="Q82" i="12"/>
  <c r="P82" i="12"/>
  <c r="O82" i="12"/>
  <c r="N82" i="12"/>
  <c r="M82" i="12"/>
  <c r="I82" i="12"/>
  <c r="H82" i="12"/>
  <c r="G82" i="12"/>
  <c r="L82" i="12" s="1"/>
  <c r="F82" i="12"/>
  <c r="K82" i="12" s="1"/>
  <c r="E82" i="12"/>
  <c r="J82" i="12" s="1"/>
  <c r="D82" i="12"/>
  <c r="C82" i="12"/>
  <c r="AE81" i="12"/>
  <c r="AD81" i="12"/>
  <c r="AC81" i="12"/>
  <c r="Y81" i="12"/>
  <c r="S81" i="12"/>
  <c r="R81" i="12"/>
  <c r="Q81" i="12"/>
  <c r="P81" i="12"/>
  <c r="O81" i="12"/>
  <c r="N81" i="12"/>
  <c r="L81" i="12"/>
  <c r="K81" i="12"/>
  <c r="J81" i="12"/>
  <c r="H81" i="12"/>
  <c r="M81" i="12" s="1"/>
  <c r="G81" i="12"/>
  <c r="F81" i="12"/>
  <c r="E81" i="12"/>
  <c r="D81" i="12"/>
  <c r="I81" i="12" s="1"/>
  <c r="C81" i="12"/>
  <c r="AE80" i="12"/>
  <c r="AD80" i="12"/>
  <c r="AC80" i="12"/>
  <c r="Y80" i="12"/>
  <c r="S80" i="12"/>
  <c r="R80" i="12"/>
  <c r="Q80" i="12"/>
  <c r="P80" i="12"/>
  <c r="O80" i="12"/>
  <c r="N80" i="12"/>
  <c r="L80" i="12"/>
  <c r="K80" i="12"/>
  <c r="I80" i="12"/>
  <c r="H80" i="12"/>
  <c r="M80" i="12" s="1"/>
  <c r="G80" i="12"/>
  <c r="F80" i="12"/>
  <c r="E80" i="12"/>
  <c r="J80" i="12" s="1"/>
  <c r="D80" i="12"/>
  <c r="C80" i="12"/>
  <c r="AE79" i="12"/>
  <c r="AD79" i="12"/>
  <c r="AC79" i="12"/>
  <c r="Y79" i="12"/>
  <c r="S79" i="12"/>
  <c r="R79" i="12"/>
  <c r="Q79" i="12"/>
  <c r="P79" i="12"/>
  <c r="O79" i="12"/>
  <c r="N79" i="12"/>
  <c r="M79" i="12"/>
  <c r="L79" i="12"/>
  <c r="I79" i="12"/>
  <c r="H79" i="12"/>
  <c r="G79" i="12"/>
  <c r="F79" i="12"/>
  <c r="K79" i="12" s="1"/>
  <c r="E79" i="12"/>
  <c r="J79" i="12" s="1"/>
  <c r="D79" i="12"/>
  <c r="C79" i="12"/>
  <c r="AE78" i="12"/>
  <c r="AD78" i="12"/>
  <c r="AC78" i="12"/>
  <c r="Y78" i="12"/>
  <c r="S78" i="12"/>
  <c r="R78" i="12"/>
  <c r="Q78" i="12"/>
  <c r="P78" i="12"/>
  <c r="O78" i="12"/>
  <c r="N78" i="12"/>
  <c r="M78" i="12"/>
  <c r="K78" i="12"/>
  <c r="J78" i="12"/>
  <c r="I78" i="12"/>
  <c r="H78" i="12"/>
  <c r="G78" i="12"/>
  <c r="L78" i="12" s="1"/>
  <c r="F78" i="12"/>
  <c r="E78" i="12"/>
  <c r="D78" i="12"/>
  <c r="C78" i="12"/>
  <c r="AE77" i="12"/>
  <c r="AD77" i="12"/>
  <c r="AC77" i="12"/>
  <c r="Y77" i="12"/>
  <c r="S77" i="12"/>
  <c r="R77" i="12"/>
  <c r="Q77" i="12"/>
  <c r="P77" i="12"/>
  <c r="O77" i="12"/>
  <c r="N77" i="12"/>
  <c r="K77" i="12"/>
  <c r="J77" i="12"/>
  <c r="H77" i="12"/>
  <c r="M77" i="12" s="1"/>
  <c r="G77" i="12"/>
  <c r="L77" i="12" s="1"/>
  <c r="F77" i="12"/>
  <c r="E77" i="12"/>
  <c r="D77" i="12"/>
  <c r="I77" i="12" s="1"/>
  <c r="C77" i="12"/>
  <c r="AE76" i="12"/>
  <c r="AD76" i="12"/>
  <c r="AC76" i="12"/>
  <c r="Y76" i="12"/>
  <c r="S76" i="12"/>
  <c r="R76" i="12"/>
  <c r="Q76" i="12"/>
  <c r="P76" i="12"/>
  <c r="O76" i="12"/>
  <c r="N76" i="12"/>
  <c r="M76" i="12"/>
  <c r="L76" i="12"/>
  <c r="K76" i="12"/>
  <c r="H76" i="12"/>
  <c r="G76" i="12"/>
  <c r="F76" i="12"/>
  <c r="E76" i="12"/>
  <c r="J76" i="12" s="1"/>
  <c r="D76" i="12"/>
  <c r="I76" i="12" s="1"/>
  <c r="C76" i="12"/>
  <c r="AE75" i="12"/>
  <c r="AD75" i="12"/>
  <c r="AC75" i="12"/>
  <c r="Y75" i="12"/>
  <c r="S75" i="12"/>
  <c r="R75" i="12"/>
  <c r="Q75" i="12"/>
  <c r="P75" i="12"/>
  <c r="O75" i="12"/>
  <c r="N75" i="12"/>
  <c r="M75" i="12"/>
  <c r="L75" i="12"/>
  <c r="J75" i="12"/>
  <c r="I75" i="12"/>
  <c r="H75" i="12"/>
  <c r="G75" i="12"/>
  <c r="F75" i="12"/>
  <c r="K75" i="12" s="1"/>
  <c r="E75" i="12"/>
  <c r="D75" i="12"/>
  <c r="C75" i="12"/>
  <c r="M74" i="12"/>
  <c r="L74" i="12"/>
  <c r="K74" i="12"/>
  <c r="J74" i="12"/>
  <c r="I74" i="12"/>
  <c r="C74" i="12"/>
  <c r="C73" i="12" s="1"/>
  <c r="C72" i="12" s="1"/>
  <c r="C71" i="12" s="1"/>
  <c r="C70" i="12" s="1"/>
  <c r="C69" i="12" s="1"/>
  <c r="C68" i="12" s="1"/>
  <c r="C67" i="12" s="1"/>
  <c r="C66" i="12" s="1"/>
  <c r="C65" i="12" s="1"/>
  <c r="C64" i="12" s="1"/>
  <c r="C63" i="12" s="1"/>
  <c r="C62" i="12" s="1"/>
  <c r="C61" i="12" s="1"/>
  <c r="M73" i="12"/>
  <c r="L73" i="12"/>
  <c r="K73" i="12"/>
  <c r="J73" i="12"/>
  <c r="I73" i="12"/>
  <c r="M72" i="12"/>
  <c r="L72" i="12"/>
  <c r="K72" i="12"/>
  <c r="J72" i="12"/>
  <c r="I72" i="12"/>
  <c r="M71" i="12"/>
  <c r="L71" i="12"/>
  <c r="K71" i="12"/>
  <c r="J71" i="12"/>
  <c r="I71" i="12"/>
  <c r="M70" i="12"/>
  <c r="L70" i="12"/>
  <c r="K70" i="12"/>
  <c r="J70" i="12"/>
  <c r="I70" i="12"/>
  <c r="M69" i="12"/>
  <c r="L69" i="12"/>
  <c r="K69" i="12"/>
  <c r="J69" i="12"/>
  <c r="I69" i="12"/>
  <c r="M68" i="12"/>
  <c r="L68" i="12"/>
  <c r="K68" i="12"/>
  <c r="J68" i="12"/>
  <c r="I68" i="12"/>
  <c r="M67" i="12"/>
  <c r="L67" i="12"/>
  <c r="K67" i="12"/>
  <c r="J67" i="12"/>
  <c r="I67" i="12"/>
  <c r="M66" i="12"/>
  <c r="L66" i="12"/>
  <c r="K66" i="12"/>
  <c r="J66" i="12"/>
  <c r="I66" i="12"/>
  <c r="M65" i="12"/>
  <c r="L65" i="12"/>
  <c r="K65" i="12"/>
  <c r="J65" i="12"/>
  <c r="I65" i="12"/>
  <c r="M64" i="12"/>
  <c r="L64" i="12"/>
  <c r="K64" i="12"/>
  <c r="J64" i="12"/>
  <c r="I64" i="12"/>
  <c r="M63" i="12"/>
  <c r="L63" i="12"/>
  <c r="K63" i="12"/>
  <c r="J63" i="12"/>
  <c r="I63" i="12"/>
  <c r="M62" i="12"/>
  <c r="L62" i="12"/>
  <c r="K62" i="12"/>
  <c r="J62" i="12"/>
  <c r="I62" i="12"/>
  <c r="M61" i="12"/>
  <c r="L61" i="12"/>
  <c r="K61" i="12"/>
  <c r="J61" i="12"/>
  <c r="I61" i="12"/>
  <c r="Q60" i="12"/>
  <c r="W60" i="12" s="1"/>
  <c r="AC60" i="12" s="1"/>
  <c r="P60" i="12"/>
  <c r="V60" i="12" s="1"/>
  <c r="AB60" i="12" s="1"/>
  <c r="H60" i="12"/>
  <c r="S60" i="12" s="1"/>
  <c r="Y60" i="12" s="1"/>
  <c r="AE60" i="12" s="1"/>
  <c r="G60" i="12"/>
  <c r="R60" i="12" s="1"/>
  <c r="X60" i="12" s="1"/>
  <c r="AD60" i="12" s="1"/>
  <c r="F60" i="12"/>
  <c r="E60" i="12"/>
  <c r="D60" i="12"/>
  <c r="O60" i="12" s="1"/>
  <c r="U60" i="12" s="1"/>
  <c r="AA60" i="12" s="1"/>
  <c r="AE104" i="11"/>
  <c r="AD104" i="11"/>
  <c r="AC104" i="11"/>
  <c r="Y104" i="11"/>
  <c r="S104" i="11"/>
  <c r="N104" i="11"/>
  <c r="H104" i="11"/>
  <c r="M104" i="11" s="1"/>
  <c r="AE103" i="11"/>
  <c r="AD103" i="11"/>
  <c r="AC103" i="11"/>
  <c r="Y103" i="11"/>
  <c r="S103" i="11"/>
  <c r="N103" i="11"/>
  <c r="M103" i="11"/>
  <c r="H103" i="11"/>
  <c r="AE102" i="11"/>
  <c r="AD102" i="11"/>
  <c r="AC102" i="11"/>
  <c r="Y102" i="11"/>
  <c r="S102" i="11"/>
  <c r="N102" i="11"/>
  <c r="M102" i="11"/>
  <c r="H102" i="11"/>
  <c r="AE101" i="11"/>
  <c r="AD101" i="11"/>
  <c r="AC101" i="11"/>
  <c r="Y101" i="11"/>
  <c r="S101" i="11"/>
  <c r="N101" i="11"/>
  <c r="H101" i="11"/>
  <c r="M101" i="11" s="1"/>
  <c r="AE100" i="11"/>
  <c r="AD100" i="11"/>
  <c r="AC100" i="11"/>
  <c r="Y100" i="11"/>
  <c r="S100" i="11"/>
  <c r="N100" i="11"/>
  <c r="H100" i="11"/>
  <c r="M100" i="11" s="1"/>
  <c r="AE99" i="11"/>
  <c r="AD99" i="11"/>
  <c r="AC99" i="11"/>
  <c r="Y99" i="11"/>
  <c r="S99" i="11"/>
  <c r="N99" i="11"/>
  <c r="H99" i="11"/>
  <c r="M99" i="11" s="1"/>
  <c r="AE98" i="11"/>
  <c r="AD98" i="11"/>
  <c r="AC98" i="11"/>
  <c r="Y98" i="11"/>
  <c r="S98" i="11"/>
  <c r="N98" i="11"/>
  <c r="M98" i="11"/>
  <c r="H98" i="11"/>
  <c r="AE97" i="11"/>
  <c r="AD97" i="11"/>
  <c r="AC97" i="11"/>
  <c r="Y97" i="11"/>
  <c r="S97" i="11"/>
  <c r="N97" i="11"/>
  <c r="M97" i="11"/>
  <c r="H97" i="11"/>
  <c r="AE96" i="11"/>
  <c r="AD96" i="11"/>
  <c r="AC96" i="11"/>
  <c r="Y96" i="11"/>
  <c r="S96" i="11"/>
  <c r="N96" i="11"/>
  <c r="H96" i="11"/>
  <c r="M96" i="11" s="1"/>
  <c r="AE95" i="11"/>
  <c r="AD95" i="11"/>
  <c r="AC95" i="11"/>
  <c r="Y95" i="11"/>
  <c r="S95" i="11"/>
  <c r="N95" i="11"/>
  <c r="M95" i="11"/>
  <c r="H95" i="11"/>
  <c r="AE94" i="11"/>
  <c r="AD94" i="11"/>
  <c r="AC94" i="11"/>
  <c r="Y94" i="11"/>
  <c r="S94" i="11"/>
  <c r="N94" i="11"/>
  <c r="M94" i="11"/>
  <c r="H94" i="11"/>
  <c r="AE93" i="11"/>
  <c r="AD93" i="11"/>
  <c r="AC93" i="11"/>
  <c r="Y93" i="11"/>
  <c r="S93" i="11"/>
  <c r="N93" i="11"/>
  <c r="M93" i="11"/>
  <c r="H93" i="11"/>
  <c r="AE92" i="11"/>
  <c r="AD92" i="11"/>
  <c r="AC92" i="11"/>
  <c r="Y92" i="11"/>
  <c r="S92" i="11"/>
  <c r="N92" i="11"/>
  <c r="H92" i="11"/>
  <c r="M92" i="11" s="1"/>
  <c r="AE91" i="11"/>
  <c r="AD91" i="11"/>
  <c r="AC91" i="11"/>
  <c r="Y91" i="11"/>
  <c r="S91" i="11"/>
  <c r="N91" i="11"/>
  <c r="H91" i="11"/>
  <c r="M91" i="11" s="1"/>
  <c r="AE90" i="11"/>
  <c r="AD90" i="11"/>
  <c r="AC90" i="11"/>
  <c r="Y90" i="11"/>
  <c r="S90" i="11"/>
  <c r="N90" i="11"/>
  <c r="M90" i="11"/>
  <c r="H90" i="11"/>
  <c r="AE89" i="11"/>
  <c r="AD89" i="11"/>
  <c r="AC89" i="11"/>
  <c r="Y89" i="11"/>
  <c r="S89" i="11"/>
  <c r="N89" i="11"/>
  <c r="M89" i="11"/>
  <c r="H89" i="11"/>
  <c r="AE88" i="11"/>
  <c r="AD88" i="11"/>
  <c r="AC88" i="11"/>
  <c r="Y88" i="11"/>
  <c r="S88" i="11"/>
  <c r="N88" i="11"/>
  <c r="H88" i="11"/>
  <c r="M88" i="11" s="1"/>
  <c r="AE87" i="11"/>
  <c r="AD87" i="11"/>
  <c r="AC87" i="11"/>
  <c r="Y87" i="11"/>
  <c r="S87" i="11"/>
  <c r="N87" i="11"/>
  <c r="M87" i="11"/>
  <c r="H87" i="11"/>
  <c r="AE86" i="11"/>
  <c r="AD86" i="11"/>
  <c r="AC86" i="11"/>
  <c r="Y86" i="11"/>
  <c r="S86" i="11"/>
  <c r="N86" i="11"/>
  <c r="M86" i="11"/>
  <c r="H86" i="11"/>
  <c r="AE85" i="11"/>
  <c r="AD85" i="11"/>
  <c r="AC85" i="11"/>
  <c r="Y85" i="11"/>
  <c r="S85" i="11"/>
  <c r="N85" i="11"/>
  <c r="M85" i="11"/>
  <c r="H85" i="11"/>
  <c r="AE84" i="11"/>
  <c r="AD84" i="11"/>
  <c r="AC84" i="11"/>
  <c r="Y84" i="11"/>
  <c r="S84" i="11"/>
  <c r="N84" i="11"/>
  <c r="M84" i="11"/>
  <c r="H84" i="11"/>
  <c r="AE83" i="11"/>
  <c r="AD83" i="11"/>
  <c r="AC83" i="11"/>
  <c r="Y83" i="11"/>
  <c r="S83" i="11"/>
  <c r="N83" i="11"/>
  <c r="H83" i="11"/>
  <c r="M83" i="11" s="1"/>
  <c r="AE82" i="11"/>
  <c r="AD82" i="11"/>
  <c r="AC82" i="11"/>
  <c r="Y82" i="11"/>
  <c r="S82" i="11"/>
  <c r="N82" i="11"/>
  <c r="M82" i="11"/>
  <c r="H82" i="11"/>
  <c r="AE81" i="11"/>
  <c r="AD81" i="11"/>
  <c r="AC81" i="11"/>
  <c r="Y81" i="11"/>
  <c r="S81" i="11"/>
  <c r="R81" i="11"/>
  <c r="Q81" i="11"/>
  <c r="P81" i="11"/>
  <c r="O81" i="11"/>
  <c r="N81" i="11"/>
  <c r="M81" i="11"/>
  <c r="H81" i="11"/>
  <c r="AE80" i="11"/>
  <c r="AD80" i="11"/>
  <c r="AC80" i="11"/>
  <c r="Y80" i="11"/>
  <c r="S80" i="11"/>
  <c r="R80" i="11"/>
  <c r="Q80" i="11"/>
  <c r="P80" i="11"/>
  <c r="O80" i="11"/>
  <c r="N80" i="11"/>
  <c r="H80" i="11"/>
  <c r="M80" i="11" s="1"/>
  <c r="AE79" i="11"/>
  <c r="AD79" i="11"/>
  <c r="AC79" i="11"/>
  <c r="Y79" i="11"/>
  <c r="S79" i="11"/>
  <c r="R79" i="11"/>
  <c r="Q79" i="11"/>
  <c r="P79" i="11"/>
  <c r="O79" i="11"/>
  <c r="N79" i="11"/>
  <c r="M79" i="11"/>
  <c r="H79" i="11"/>
  <c r="AE78" i="11"/>
  <c r="AD78" i="11"/>
  <c r="AC78" i="11"/>
  <c r="Y78" i="11"/>
  <c r="S78" i="11"/>
  <c r="R78" i="11"/>
  <c r="Q78" i="11"/>
  <c r="P78" i="11"/>
  <c r="O78" i="11"/>
  <c r="N78" i="11"/>
  <c r="M78" i="11"/>
  <c r="H78" i="11"/>
  <c r="AE77" i="11"/>
  <c r="AD77" i="11"/>
  <c r="AC77" i="11"/>
  <c r="Y77" i="11"/>
  <c r="S77" i="11"/>
  <c r="R77" i="11"/>
  <c r="Q77" i="11"/>
  <c r="P77" i="11"/>
  <c r="O77" i="11"/>
  <c r="N77" i="11"/>
  <c r="H77" i="11"/>
  <c r="M77" i="11" s="1"/>
  <c r="AE76" i="11"/>
  <c r="AD76" i="11"/>
  <c r="AC76" i="11"/>
  <c r="Y76" i="11"/>
  <c r="S76" i="11"/>
  <c r="R76" i="11"/>
  <c r="Q76" i="11"/>
  <c r="P76" i="11"/>
  <c r="O76" i="11"/>
  <c r="N76" i="11"/>
  <c r="M76" i="11"/>
  <c r="H76" i="11"/>
  <c r="AE75" i="11"/>
  <c r="AD75" i="11"/>
  <c r="AC75" i="11"/>
  <c r="Y75" i="11"/>
  <c r="S75" i="11"/>
  <c r="R75" i="11"/>
  <c r="Q75" i="11"/>
  <c r="P75" i="11"/>
  <c r="O75" i="11"/>
  <c r="N75" i="11"/>
  <c r="L75" i="11"/>
  <c r="K75" i="11"/>
  <c r="J75" i="11"/>
  <c r="I75" i="11"/>
  <c r="H75" i="11"/>
  <c r="M75" i="11" s="1"/>
  <c r="G75" i="11"/>
  <c r="F75" i="11"/>
  <c r="E75" i="11"/>
  <c r="D75" i="11"/>
  <c r="C75" i="11"/>
  <c r="C74" i="11" s="1"/>
  <c r="C73" i="11" s="1"/>
  <c r="C72" i="11" s="1"/>
  <c r="C71" i="11" s="1"/>
  <c r="C70" i="11" s="1"/>
  <c r="C69" i="11" s="1"/>
  <c r="C68" i="11" s="1"/>
  <c r="C67" i="11" s="1"/>
  <c r="C66" i="11" s="1"/>
  <c r="C65" i="11" s="1"/>
  <c r="C64" i="11" s="1"/>
  <c r="C63" i="11" s="1"/>
  <c r="C62" i="11" s="1"/>
  <c r="C61" i="11" s="1"/>
  <c r="M74" i="11"/>
  <c r="L74" i="11"/>
  <c r="K74" i="11"/>
  <c r="J74" i="11"/>
  <c r="I74" i="11"/>
  <c r="M73" i="11"/>
  <c r="L73" i="11"/>
  <c r="K73" i="11"/>
  <c r="J73" i="11"/>
  <c r="I73" i="11"/>
  <c r="M72" i="11"/>
  <c r="L72" i="11"/>
  <c r="K72" i="11"/>
  <c r="J72" i="11"/>
  <c r="I72" i="11"/>
  <c r="M71" i="11"/>
  <c r="L71" i="11"/>
  <c r="K71" i="11"/>
  <c r="J71" i="11"/>
  <c r="I71" i="11"/>
  <c r="M70" i="11"/>
  <c r="L70" i="11"/>
  <c r="K70" i="11"/>
  <c r="J70" i="11"/>
  <c r="I70" i="11"/>
  <c r="M69" i="11"/>
  <c r="L69" i="11"/>
  <c r="K69" i="11"/>
  <c r="J69" i="11"/>
  <c r="I69" i="11"/>
  <c r="M68" i="11"/>
  <c r="L68" i="11"/>
  <c r="K68" i="11"/>
  <c r="J68" i="11"/>
  <c r="I68" i="11"/>
  <c r="M67" i="11"/>
  <c r="L67" i="11"/>
  <c r="K67" i="11"/>
  <c r="J67" i="11"/>
  <c r="I67" i="11"/>
  <c r="M66" i="11"/>
  <c r="L66" i="11"/>
  <c r="K66" i="11"/>
  <c r="J66" i="11"/>
  <c r="I66" i="11"/>
  <c r="M65" i="11"/>
  <c r="L65" i="11"/>
  <c r="K65" i="11"/>
  <c r="J65" i="11"/>
  <c r="I65" i="11"/>
  <c r="M64" i="11"/>
  <c r="L64" i="11"/>
  <c r="K64" i="11"/>
  <c r="J64" i="11"/>
  <c r="I64" i="11"/>
  <c r="M63" i="11"/>
  <c r="L63" i="11"/>
  <c r="K63" i="11"/>
  <c r="J63" i="11"/>
  <c r="I63" i="11"/>
  <c r="M62" i="11"/>
  <c r="L62" i="11"/>
  <c r="K62" i="11"/>
  <c r="J62" i="11"/>
  <c r="I62" i="11"/>
  <c r="M61" i="11"/>
  <c r="L61" i="11"/>
  <c r="K61" i="11"/>
  <c r="J61" i="11"/>
  <c r="I61" i="11"/>
  <c r="Y60" i="11"/>
  <c r="AE60" i="11" s="1"/>
  <c r="S60" i="11"/>
  <c r="R60" i="11"/>
  <c r="X60" i="11" s="1"/>
  <c r="AD60" i="11" s="1"/>
  <c r="P60" i="11"/>
  <c r="V60" i="11" s="1"/>
  <c r="AB60" i="11" s="1"/>
  <c r="H60" i="11"/>
  <c r="G60" i="11"/>
  <c r="F60" i="11"/>
  <c r="Q60" i="11" s="1"/>
  <c r="W60" i="11" s="1"/>
  <c r="AC60" i="11" s="1"/>
  <c r="E60" i="11"/>
  <c r="D60" i="11"/>
  <c r="O60" i="11" s="1"/>
  <c r="U60" i="11" s="1"/>
  <c r="AA60" i="11" s="1"/>
  <c r="M104" i="10"/>
  <c r="L104" i="10"/>
  <c r="K104" i="10"/>
  <c r="J104" i="10"/>
  <c r="I104" i="10"/>
  <c r="M103" i="10"/>
  <c r="L103" i="10"/>
  <c r="K103" i="10"/>
  <c r="J103" i="10"/>
  <c r="I103" i="10"/>
  <c r="M102" i="10"/>
  <c r="L102" i="10"/>
  <c r="K102" i="10"/>
  <c r="J102" i="10"/>
  <c r="I102" i="10"/>
  <c r="M101" i="10"/>
  <c r="L101" i="10"/>
  <c r="K101" i="10"/>
  <c r="J101" i="10"/>
  <c r="I101" i="10"/>
  <c r="M100" i="10"/>
  <c r="L100" i="10"/>
  <c r="K100" i="10"/>
  <c r="J100" i="10"/>
  <c r="I100" i="10"/>
  <c r="M99" i="10"/>
  <c r="L99" i="10"/>
  <c r="K99" i="10"/>
  <c r="J99" i="10"/>
  <c r="I99" i="10"/>
  <c r="M98" i="10"/>
  <c r="L98" i="10"/>
  <c r="K98" i="10"/>
  <c r="J98" i="10"/>
  <c r="I98" i="10"/>
  <c r="M97" i="10"/>
  <c r="L97" i="10"/>
  <c r="K97" i="10"/>
  <c r="J97" i="10"/>
  <c r="I97" i="10"/>
  <c r="M96" i="10"/>
  <c r="L96" i="10"/>
  <c r="K96" i="10"/>
  <c r="J96" i="10"/>
  <c r="I96" i="10"/>
  <c r="M95" i="10"/>
  <c r="L95" i="10"/>
  <c r="K95" i="10"/>
  <c r="J95" i="10"/>
  <c r="I95" i="10"/>
  <c r="M94" i="10"/>
  <c r="L94" i="10"/>
  <c r="K94" i="10"/>
  <c r="J94" i="10"/>
  <c r="I94" i="10"/>
  <c r="M93" i="10"/>
  <c r="L93" i="10"/>
  <c r="K93" i="10"/>
  <c r="J93" i="10"/>
  <c r="I93" i="10"/>
  <c r="M92" i="10"/>
  <c r="L92" i="10"/>
  <c r="K92" i="10"/>
  <c r="J92" i="10"/>
  <c r="I92" i="10"/>
  <c r="M91" i="10"/>
  <c r="L91" i="10"/>
  <c r="K91" i="10"/>
  <c r="J91" i="10"/>
  <c r="I91" i="10"/>
  <c r="M90" i="10"/>
  <c r="L90" i="10"/>
  <c r="K90" i="10"/>
  <c r="J90" i="10"/>
  <c r="I90" i="10"/>
  <c r="M89" i="10"/>
  <c r="L89" i="10"/>
  <c r="K89" i="10"/>
  <c r="J89" i="10"/>
  <c r="I89" i="10"/>
  <c r="M88" i="10"/>
  <c r="L88" i="10"/>
  <c r="K88" i="10"/>
  <c r="J88" i="10"/>
  <c r="I88" i="10"/>
  <c r="M87" i="10"/>
  <c r="L87" i="10"/>
  <c r="K87" i="10"/>
  <c r="J87" i="10"/>
  <c r="I87" i="10"/>
  <c r="M86" i="10"/>
  <c r="L86" i="10"/>
  <c r="K86" i="10"/>
  <c r="J86" i="10"/>
  <c r="I86" i="10"/>
  <c r="M85" i="10"/>
  <c r="L85" i="10"/>
  <c r="K85" i="10"/>
  <c r="J85" i="10"/>
  <c r="I85" i="10"/>
  <c r="M84" i="10"/>
  <c r="L84" i="10"/>
  <c r="K84" i="10"/>
  <c r="J84" i="10"/>
  <c r="I84" i="10"/>
  <c r="M83" i="10"/>
  <c r="L83" i="10"/>
  <c r="K83" i="10"/>
  <c r="J83" i="10"/>
  <c r="I83" i="10"/>
  <c r="M82" i="10"/>
  <c r="L82" i="10"/>
  <c r="K82" i="10"/>
  <c r="J82" i="10"/>
  <c r="I82" i="10"/>
  <c r="M81" i="10"/>
  <c r="L81" i="10"/>
  <c r="K81" i="10"/>
  <c r="J81" i="10"/>
  <c r="I81" i="10"/>
  <c r="M80" i="10"/>
  <c r="L80" i="10"/>
  <c r="K80" i="10"/>
  <c r="J80" i="10"/>
  <c r="I80" i="10"/>
  <c r="M79" i="10"/>
  <c r="L79" i="10"/>
  <c r="K79" i="10"/>
  <c r="J79" i="10"/>
  <c r="I79" i="10"/>
  <c r="M78" i="10"/>
  <c r="L78" i="10"/>
  <c r="K78" i="10"/>
  <c r="J78" i="10"/>
  <c r="I78" i="10"/>
  <c r="M77" i="10"/>
  <c r="L77" i="10"/>
  <c r="K77" i="10"/>
  <c r="J77" i="10"/>
  <c r="I77" i="10"/>
  <c r="M76" i="10"/>
  <c r="L76" i="10"/>
  <c r="K76" i="10"/>
  <c r="J76" i="10"/>
  <c r="I76" i="10"/>
  <c r="M75" i="10"/>
  <c r="L75" i="10"/>
  <c r="K75" i="10"/>
  <c r="J75" i="10"/>
  <c r="I75" i="10"/>
  <c r="M74" i="10"/>
  <c r="L74" i="10"/>
  <c r="K74" i="10"/>
  <c r="J74" i="10"/>
  <c r="I74" i="10"/>
  <c r="M73" i="10"/>
  <c r="L73" i="10"/>
  <c r="K73" i="10"/>
  <c r="J73" i="10"/>
  <c r="I73" i="10"/>
  <c r="M72" i="10"/>
  <c r="L72" i="10"/>
  <c r="K72" i="10"/>
  <c r="J72" i="10"/>
  <c r="I72" i="10"/>
  <c r="M71" i="10"/>
  <c r="L71" i="10"/>
  <c r="K71" i="10"/>
  <c r="J71" i="10"/>
  <c r="I71" i="10"/>
  <c r="M70" i="10"/>
  <c r="L70" i="10"/>
  <c r="K70" i="10"/>
  <c r="J70" i="10"/>
  <c r="I70" i="10"/>
  <c r="M69" i="10"/>
  <c r="L69" i="10"/>
  <c r="K69" i="10"/>
  <c r="J69" i="10"/>
  <c r="I69" i="10"/>
  <c r="M68" i="10"/>
  <c r="L68" i="10"/>
  <c r="K68" i="10"/>
  <c r="J68" i="10"/>
  <c r="I68" i="10"/>
  <c r="M67" i="10"/>
  <c r="L67" i="10"/>
  <c r="K67" i="10"/>
  <c r="J67" i="10"/>
  <c r="I67" i="10"/>
  <c r="M66" i="10"/>
  <c r="L66" i="10"/>
  <c r="K66" i="10"/>
  <c r="J66" i="10"/>
  <c r="I66" i="10"/>
  <c r="M65" i="10"/>
  <c r="L65" i="10"/>
  <c r="K65" i="10"/>
  <c r="J65" i="10"/>
  <c r="I65" i="10"/>
  <c r="M64" i="10"/>
  <c r="L64" i="10"/>
  <c r="K64" i="10"/>
  <c r="J64" i="10"/>
  <c r="I64" i="10"/>
  <c r="M63" i="10"/>
  <c r="L63" i="10"/>
  <c r="K63" i="10"/>
  <c r="J63" i="10"/>
  <c r="I63" i="10"/>
  <c r="M62" i="10"/>
  <c r="L62" i="10"/>
  <c r="K62" i="10"/>
  <c r="J62" i="10"/>
  <c r="I62" i="10"/>
  <c r="M61" i="10"/>
  <c r="L61" i="10"/>
  <c r="K61" i="10"/>
  <c r="J61" i="10"/>
  <c r="I61" i="10"/>
  <c r="M104" i="4"/>
  <c r="L104" i="4"/>
  <c r="K104" i="4"/>
  <c r="J104" i="4"/>
  <c r="I104" i="4"/>
  <c r="M103" i="4"/>
  <c r="L103" i="4"/>
  <c r="K103" i="4"/>
  <c r="J103" i="4"/>
  <c r="I103" i="4"/>
  <c r="M102" i="4"/>
  <c r="L102" i="4"/>
  <c r="K102" i="4"/>
  <c r="J102" i="4"/>
  <c r="I102" i="4"/>
  <c r="M101" i="4"/>
  <c r="L101" i="4"/>
  <c r="K101" i="4"/>
  <c r="J101" i="4"/>
  <c r="I101" i="4"/>
  <c r="M100" i="4"/>
  <c r="L100" i="4"/>
  <c r="K100" i="4"/>
  <c r="J100" i="4"/>
  <c r="I100" i="4"/>
  <c r="M99" i="4"/>
  <c r="L99" i="4"/>
  <c r="K99" i="4"/>
  <c r="J99" i="4"/>
  <c r="I99" i="4"/>
  <c r="M98" i="4"/>
  <c r="L98" i="4"/>
  <c r="K98" i="4"/>
  <c r="J98" i="4"/>
  <c r="I98" i="4"/>
  <c r="M97" i="4"/>
  <c r="L97" i="4"/>
  <c r="K97" i="4"/>
  <c r="J97" i="4"/>
  <c r="I97" i="4"/>
  <c r="M96" i="4"/>
  <c r="L96" i="4"/>
  <c r="K96" i="4"/>
  <c r="J96" i="4"/>
  <c r="I96" i="4"/>
  <c r="M95" i="4"/>
  <c r="L95" i="4"/>
  <c r="K95" i="4"/>
  <c r="J95" i="4"/>
  <c r="I95" i="4"/>
  <c r="M94" i="4"/>
  <c r="L94" i="4"/>
  <c r="K94" i="4"/>
  <c r="J94" i="4"/>
  <c r="I94" i="4"/>
  <c r="M93" i="4"/>
  <c r="L93" i="4"/>
  <c r="K93" i="4"/>
  <c r="J93" i="4"/>
  <c r="I93" i="4"/>
  <c r="M92" i="4"/>
  <c r="L92" i="4"/>
  <c r="K92" i="4"/>
  <c r="J92" i="4"/>
  <c r="I92" i="4"/>
  <c r="M91" i="4"/>
  <c r="L91" i="4"/>
  <c r="K91" i="4"/>
  <c r="J91" i="4"/>
  <c r="I91" i="4"/>
  <c r="M90" i="4"/>
  <c r="L90" i="4"/>
  <c r="K90" i="4"/>
  <c r="J90" i="4"/>
  <c r="I90" i="4"/>
  <c r="M89" i="4"/>
  <c r="L89" i="4"/>
  <c r="K89" i="4"/>
  <c r="J89" i="4"/>
  <c r="I89" i="4"/>
  <c r="M88" i="4"/>
  <c r="L88" i="4"/>
  <c r="K88" i="4"/>
  <c r="J88" i="4"/>
  <c r="I88" i="4"/>
  <c r="M87" i="4"/>
  <c r="L87" i="4"/>
  <c r="K87" i="4"/>
  <c r="J87" i="4"/>
  <c r="I87" i="4"/>
  <c r="M86" i="4"/>
  <c r="L86" i="4"/>
  <c r="K86" i="4"/>
  <c r="J86" i="4"/>
  <c r="I86" i="4"/>
  <c r="M85" i="4"/>
  <c r="L85" i="4"/>
  <c r="K85" i="4"/>
  <c r="J85" i="4"/>
  <c r="I85" i="4"/>
  <c r="M84" i="4"/>
  <c r="L84" i="4"/>
  <c r="K84" i="4"/>
  <c r="J84" i="4"/>
  <c r="I84" i="4"/>
  <c r="M83" i="4"/>
  <c r="L83" i="4"/>
  <c r="K83" i="4"/>
  <c r="J83" i="4"/>
  <c r="I83" i="4"/>
  <c r="M82" i="4"/>
  <c r="L82" i="4"/>
  <c r="K82" i="4"/>
  <c r="J82" i="4"/>
  <c r="I82" i="4"/>
  <c r="M81" i="4"/>
  <c r="L81" i="4"/>
  <c r="K81" i="4"/>
  <c r="J81" i="4"/>
  <c r="I81" i="4"/>
  <c r="M80" i="4"/>
  <c r="L80" i="4"/>
  <c r="K80" i="4"/>
  <c r="J80" i="4"/>
  <c r="I80" i="4"/>
  <c r="M79" i="4"/>
  <c r="L79" i="4"/>
  <c r="K79" i="4"/>
  <c r="J79" i="4"/>
  <c r="I79" i="4"/>
  <c r="M78" i="4"/>
  <c r="L78" i="4"/>
  <c r="K78" i="4"/>
  <c r="J78" i="4"/>
  <c r="I78" i="4"/>
  <c r="M77" i="4"/>
  <c r="L77" i="4"/>
  <c r="K77" i="4"/>
  <c r="J77" i="4"/>
  <c r="I77" i="4"/>
  <c r="M76" i="4"/>
  <c r="L76" i="4"/>
  <c r="K76" i="4"/>
  <c r="J76" i="4"/>
  <c r="I76" i="4"/>
  <c r="M75" i="4"/>
  <c r="L75" i="4"/>
  <c r="K75" i="4"/>
  <c r="J75" i="4"/>
  <c r="I75" i="4"/>
  <c r="M74" i="4"/>
  <c r="L74" i="4"/>
  <c r="K74" i="4"/>
  <c r="J74" i="4"/>
  <c r="I74" i="4"/>
  <c r="M73" i="4"/>
  <c r="L73" i="4"/>
  <c r="K73" i="4"/>
  <c r="J73" i="4"/>
  <c r="I73" i="4"/>
  <c r="M72" i="4"/>
  <c r="L72" i="4"/>
  <c r="K72" i="4"/>
  <c r="J72" i="4"/>
  <c r="I72" i="4"/>
  <c r="M71" i="4"/>
  <c r="L71" i="4"/>
  <c r="K71" i="4"/>
  <c r="J71" i="4"/>
  <c r="I71" i="4"/>
  <c r="M70" i="4"/>
  <c r="L70" i="4"/>
  <c r="K70" i="4"/>
  <c r="J70" i="4"/>
  <c r="I70" i="4"/>
  <c r="M69" i="4"/>
  <c r="L69" i="4"/>
  <c r="K69" i="4"/>
  <c r="J69" i="4"/>
  <c r="I69" i="4"/>
  <c r="M68" i="4"/>
  <c r="L68" i="4"/>
  <c r="K68" i="4"/>
  <c r="J68" i="4"/>
  <c r="I68" i="4"/>
  <c r="M67" i="4"/>
  <c r="L67" i="4"/>
  <c r="K67" i="4"/>
  <c r="J67" i="4"/>
  <c r="I67" i="4"/>
  <c r="M66" i="4"/>
  <c r="L66" i="4"/>
  <c r="K66" i="4"/>
  <c r="J66" i="4"/>
  <c r="I66" i="4"/>
  <c r="M65" i="4"/>
  <c r="L65" i="4"/>
  <c r="K65" i="4"/>
  <c r="J65" i="4"/>
  <c r="I65" i="4"/>
  <c r="M64" i="4"/>
  <c r="L64" i="4"/>
  <c r="K64" i="4"/>
  <c r="J64" i="4"/>
  <c r="I64" i="4"/>
  <c r="M63" i="4"/>
  <c r="L63" i="4"/>
  <c r="K63" i="4"/>
  <c r="J63" i="4"/>
  <c r="I63" i="4"/>
  <c r="M62" i="4"/>
  <c r="L62" i="4"/>
  <c r="K62" i="4"/>
  <c r="J62" i="4"/>
  <c r="I62" i="4"/>
  <c r="M61" i="4"/>
  <c r="L61" i="4"/>
  <c r="K61" i="4"/>
  <c r="J61" i="4"/>
  <c r="I61" i="4"/>
  <c r="AE104" i="10"/>
  <c r="AD104" i="10"/>
  <c r="AC104" i="10"/>
  <c r="Y104" i="10"/>
  <c r="S104" i="10"/>
  <c r="R104" i="10"/>
  <c r="Q104" i="10"/>
  <c r="P104" i="10"/>
  <c r="O104" i="10"/>
  <c r="N104" i="10"/>
  <c r="H104" i="10"/>
  <c r="G104" i="10"/>
  <c r="F104" i="10"/>
  <c r="E104" i="10"/>
  <c r="D104" i="10"/>
  <c r="C104" i="10"/>
  <c r="AE103" i="10"/>
  <c r="AD103" i="10"/>
  <c r="AC103" i="10"/>
  <c r="Y103" i="10"/>
  <c r="S103" i="10"/>
  <c r="R103" i="10"/>
  <c r="Q103" i="10"/>
  <c r="P103" i="10"/>
  <c r="O103" i="10"/>
  <c r="N103" i="10"/>
  <c r="H103" i="10"/>
  <c r="G103" i="10"/>
  <c r="F103" i="10"/>
  <c r="E103" i="10"/>
  <c r="D103" i="10"/>
  <c r="C103" i="10"/>
  <c r="AE102" i="10"/>
  <c r="AD102" i="10"/>
  <c r="AC102" i="10"/>
  <c r="Y102" i="10"/>
  <c r="S102" i="10"/>
  <c r="R102" i="10"/>
  <c r="Q102" i="10"/>
  <c r="P102" i="10"/>
  <c r="O102" i="10"/>
  <c r="N102" i="10"/>
  <c r="H102" i="10"/>
  <c r="G102" i="10"/>
  <c r="F102" i="10"/>
  <c r="E102" i="10"/>
  <c r="D102" i="10"/>
  <c r="C102" i="10"/>
  <c r="AE101" i="10"/>
  <c r="AD101" i="10"/>
  <c r="AC101" i="10"/>
  <c r="Y101" i="10"/>
  <c r="S101" i="10"/>
  <c r="R101" i="10"/>
  <c r="Q101" i="10"/>
  <c r="P101" i="10"/>
  <c r="O101" i="10"/>
  <c r="N101" i="10"/>
  <c r="H101" i="10"/>
  <c r="G101" i="10"/>
  <c r="F101" i="10"/>
  <c r="E101" i="10"/>
  <c r="D101" i="10"/>
  <c r="C101" i="10"/>
  <c r="AE100" i="10"/>
  <c r="AD100" i="10"/>
  <c r="AC100" i="10"/>
  <c r="Y100" i="10"/>
  <c r="S100" i="10"/>
  <c r="R100" i="10"/>
  <c r="Q100" i="10"/>
  <c r="P100" i="10"/>
  <c r="O100" i="10"/>
  <c r="N100" i="10"/>
  <c r="H100" i="10"/>
  <c r="G100" i="10"/>
  <c r="F100" i="10"/>
  <c r="E100" i="10"/>
  <c r="D100" i="10"/>
  <c r="C100" i="10"/>
  <c r="AE99" i="10"/>
  <c r="AD99" i="10"/>
  <c r="AC99" i="10"/>
  <c r="Y99" i="10"/>
  <c r="S99" i="10"/>
  <c r="R99" i="10"/>
  <c r="Q99" i="10"/>
  <c r="P99" i="10"/>
  <c r="O99" i="10"/>
  <c r="N99" i="10"/>
  <c r="H99" i="10"/>
  <c r="G99" i="10"/>
  <c r="F99" i="10"/>
  <c r="E99" i="10"/>
  <c r="D99" i="10"/>
  <c r="C99" i="10"/>
  <c r="AE98" i="10"/>
  <c r="AD98" i="10"/>
  <c r="AC98" i="10"/>
  <c r="Y98" i="10"/>
  <c r="S98" i="10"/>
  <c r="R98" i="10"/>
  <c r="Q98" i="10"/>
  <c r="P98" i="10"/>
  <c r="O98" i="10"/>
  <c r="N98" i="10"/>
  <c r="H98" i="10"/>
  <c r="G98" i="10"/>
  <c r="F98" i="10"/>
  <c r="E98" i="10"/>
  <c r="D98" i="10"/>
  <c r="C98" i="10"/>
  <c r="AE97" i="10"/>
  <c r="AD97" i="10"/>
  <c r="AC97" i="10"/>
  <c r="Y97" i="10"/>
  <c r="S97" i="10"/>
  <c r="R97" i="10"/>
  <c r="Q97" i="10"/>
  <c r="P97" i="10"/>
  <c r="O97" i="10"/>
  <c r="N97" i="10"/>
  <c r="H97" i="10"/>
  <c r="G97" i="10"/>
  <c r="F97" i="10"/>
  <c r="E97" i="10"/>
  <c r="D97" i="10"/>
  <c r="C97" i="10"/>
  <c r="AE96" i="10"/>
  <c r="AD96" i="10"/>
  <c r="AC96" i="10"/>
  <c r="Y96" i="10"/>
  <c r="S96" i="10"/>
  <c r="R96" i="10"/>
  <c r="Q96" i="10"/>
  <c r="P96" i="10"/>
  <c r="O96" i="10"/>
  <c r="N96" i="10"/>
  <c r="H96" i="10"/>
  <c r="G96" i="10"/>
  <c r="F96" i="10"/>
  <c r="E96" i="10"/>
  <c r="D96" i="10"/>
  <c r="C96" i="10"/>
  <c r="AE95" i="10"/>
  <c r="AD95" i="10"/>
  <c r="AC95" i="10"/>
  <c r="Y95" i="10"/>
  <c r="S95" i="10"/>
  <c r="R95" i="10"/>
  <c r="Q95" i="10"/>
  <c r="P95" i="10"/>
  <c r="O95" i="10"/>
  <c r="N95" i="10"/>
  <c r="H95" i="10"/>
  <c r="G95" i="10"/>
  <c r="F95" i="10"/>
  <c r="E95" i="10"/>
  <c r="D95" i="10"/>
  <c r="C95" i="10"/>
  <c r="AE94" i="10"/>
  <c r="AD94" i="10"/>
  <c r="AC94" i="10"/>
  <c r="Y94" i="10"/>
  <c r="S94" i="10"/>
  <c r="R94" i="10"/>
  <c r="Q94" i="10"/>
  <c r="P94" i="10"/>
  <c r="O94" i="10"/>
  <c r="N94" i="10"/>
  <c r="H94" i="10"/>
  <c r="G94" i="10"/>
  <c r="F94" i="10"/>
  <c r="E94" i="10"/>
  <c r="D94" i="10"/>
  <c r="C94" i="10"/>
  <c r="AE93" i="10"/>
  <c r="AD93" i="10"/>
  <c r="AC93" i="10"/>
  <c r="Y93" i="10"/>
  <c r="S93" i="10"/>
  <c r="R93" i="10"/>
  <c r="Q93" i="10"/>
  <c r="P93" i="10"/>
  <c r="O93" i="10"/>
  <c r="N93" i="10"/>
  <c r="H93" i="10"/>
  <c r="G93" i="10"/>
  <c r="F93" i="10"/>
  <c r="E93" i="10"/>
  <c r="D93" i="10"/>
  <c r="C93" i="10"/>
  <c r="AE92" i="10"/>
  <c r="AD92" i="10"/>
  <c r="AC92" i="10"/>
  <c r="Y92" i="10"/>
  <c r="S92" i="10"/>
  <c r="R92" i="10"/>
  <c r="Q92" i="10"/>
  <c r="P92" i="10"/>
  <c r="O92" i="10"/>
  <c r="N92" i="10"/>
  <c r="H92" i="10"/>
  <c r="G92" i="10"/>
  <c r="F92" i="10"/>
  <c r="E92" i="10"/>
  <c r="D92" i="10"/>
  <c r="C92" i="10"/>
  <c r="AE91" i="10"/>
  <c r="AD91" i="10"/>
  <c r="AC91" i="10"/>
  <c r="Y91" i="10"/>
  <c r="S91" i="10"/>
  <c r="R91" i="10"/>
  <c r="Q91" i="10"/>
  <c r="P91" i="10"/>
  <c r="O91" i="10"/>
  <c r="N91" i="10"/>
  <c r="H91" i="10"/>
  <c r="G91" i="10"/>
  <c r="F91" i="10"/>
  <c r="E91" i="10"/>
  <c r="D91" i="10"/>
  <c r="C91" i="10"/>
  <c r="AE90" i="10"/>
  <c r="AD90" i="10"/>
  <c r="AC90" i="10"/>
  <c r="Y90" i="10"/>
  <c r="S90" i="10"/>
  <c r="R90" i="10"/>
  <c r="Q90" i="10"/>
  <c r="P90" i="10"/>
  <c r="O90" i="10"/>
  <c r="N90" i="10"/>
  <c r="H90" i="10"/>
  <c r="G90" i="10"/>
  <c r="F90" i="10"/>
  <c r="E90" i="10"/>
  <c r="D90" i="10"/>
  <c r="C90" i="10"/>
  <c r="AE89" i="10"/>
  <c r="AD89" i="10"/>
  <c r="AC89" i="10"/>
  <c r="Y89" i="10"/>
  <c r="S89" i="10"/>
  <c r="R89" i="10"/>
  <c r="Q89" i="10"/>
  <c r="P89" i="10"/>
  <c r="O89" i="10"/>
  <c r="N89" i="10"/>
  <c r="H89" i="10"/>
  <c r="G89" i="10"/>
  <c r="F89" i="10"/>
  <c r="E89" i="10"/>
  <c r="D89" i="10"/>
  <c r="C89" i="10"/>
  <c r="AE88" i="10"/>
  <c r="AD88" i="10"/>
  <c r="AC88" i="10"/>
  <c r="Y88" i="10"/>
  <c r="S88" i="10"/>
  <c r="R88" i="10"/>
  <c r="Q88" i="10"/>
  <c r="P88" i="10"/>
  <c r="O88" i="10"/>
  <c r="N88" i="10"/>
  <c r="H88" i="10"/>
  <c r="G88" i="10"/>
  <c r="F88" i="10"/>
  <c r="E88" i="10"/>
  <c r="D88" i="10"/>
  <c r="C88" i="10"/>
  <c r="AE87" i="10"/>
  <c r="AD87" i="10"/>
  <c r="AC87" i="10"/>
  <c r="Y87" i="10"/>
  <c r="S87" i="10"/>
  <c r="R87" i="10"/>
  <c r="Q87" i="10"/>
  <c r="P87" i="10"/>
  <c r="O87" i="10"/>
  <c r="N87" i="10"/>
  <c r="H87" i="10"/>
  <c r="G87" i="10"/>
  <c r="F87" i="10"/>
  <c r="E87" i="10"/>
  <c r="D87" i="10"/>
  <c r="C87" i="10"/>
  <c r="AE86" i="10"/>
  <c r="AD86" i="10"/>
  <c r="AC86" i="10"/>
  <c r="Y86" i="10"/>
  <c r="S86" i="10"/>
  <c r="R86" i="10"/>
  <c r="Q86" i="10"/>
  <c r="P86" i="10"/>
  <c r="O86" i="10"/>
  <c r="N86" i="10"/>
  <c r="H86" i="10"/>
  <c r="G86" i="10"/>
  <c r="F86" i="10"/>
  <c r="E86" i="10"/>
  <c r="D86" i="10"/>
  <c r="C86" i="10"/>
  <c r="AE85" i="10"/>
  <c r="AD85" i="10"/>
  <c r="AC85" i="10"/>
  <c r="Y85" i="10"/>
  <c r="S85" i="10"/>
  <c r="R85" i="10"/>
  <c r="Q85" i="10"/>
  <c r="P85" i="10"/>
  <c r="O85" i="10"/>
  <c r="N85" i="10"/>
  <c r="H85" i="10"/>
  <c r="G85" i="10"/>
  <c r="F85" i="10"/>
  <c r="E85" i="10"/>
  <c r="D85" i="10"/>
  <c r="C85" i="10"/>
  <c r="AE84" i="10"/>
  <c r="AD84" i="10"/>
  <c r="AC84" i="10"/>
  <c r="Y84" i="10"/>
  <c r="S84" i="10"/>
  <c r="R84" i="10"/>
  <c r="Q84" i="10"/>
  <c r="P84" i="10"/>
  <c r="O84" i="10"/>
  <c r="N84" i="10"/>
  <c r="H84" i="10"/>
  <c r="G84" i="10"/>
  <c r="F84" i="10"/>
  <c r="E84" i="10"/>
  <c r="D84" i="10"/>
  <c r="C84" i="10"/>
  <c r="AE83" i="10"/>
  <c r="AD83" i="10"/>
  <c r="AC83" i="10"/>
  <c r="Y83" i="10"/>
  <c r="S83" i="10"/>
  <c r="R83" i="10"/>
  <c r="Q83" i="10"/>
  <c r="P83" i="10"/>
  <c r="O83" i="10"/>
  <c r="N83" i="10"/>
  <c r="H83" i="10"/>
  <c r="G83" i="10"/>
  <c r="F83" i="10"/>
  <c r="E83" i="10"/>
  <c r="D83" i="10"/>
  <c r="C83" i="10"/>
  <c r="AE82" i="10"/>
  <c r="AD82" i="10"/>
  <c r="AC82" i="10"/>
  <c r="Y82" i="10"/>
  <c r="S82" i="10"/>
  <c r="R82" i="10"/>
  <c r="Q82" i="10"/>
  <c r="P82" i="10"/>
  <c r="O82" i="10"/>
  <c r="N82" i="10"/>
  <c r="H82" i="10"/>
  <c r="G82" i="10"/>
  <c r="F82" i="10"/>
  <c r="E82" i="10"/>
  <c r="D82" i="10"/>
  <c r="C82" i="10"/>
  <c r="AE81" i="10"/>
  <c r="AD81" i="10"/>
  <c r="AC81" i="10"/>
  <c r="Y81" i="10"/>
  <c r="S81" i="10"/>
  <c r="R81" i="10"/>
  <c r="Q81" i="10"/>
  <c r="P81" i="10"/>
  <c r="O81" i="10"/>
  <c r="N81" i="10"/>
  <c r="H81" i="10"/>
  <c r="G81" i="10"/>
  <c r="F81" i="10"/>
  <c r="E81" i="10"/>
  <c r="D81" i="10"/>
  <c r="C81" i="10"/>
  <c r="AE80" i="10"/>
  <c r="AD80" i="10"/>
  <c r="AC80" i="10"/>
  <c r="Y80" i="10"/>
  <c r="S80" i="10"/>
  <c r="R80" i="10"/>
  <c r="Q80" i="10"/>
  <c r="P80" i="10"/>
  <c r="O80" i="10"/>
  <c r="N80" i="10"/>
  <c r="H80" i="10"/>
  <c r="G80" i="10"/>
  <c r="F80" i="10"/>
  <c r="E80" i="10"/>
  <c r="D80" i="10"/>
  <c r="C80" i="10"/>
  <c r="AE79" i="10"/>
  <c r="AD79" i="10"/>
  <c r="AC79" i="10"/>
  <c r="Y79" i="10"/>
  <c r="S79" i="10"/>
  <c r="R79" i="10"/>
  <c r="Q79" i="10"/>
  <c r="P79" i="10"/>
  <c r="O79" i="10"/>
  <c r="N79" i="10"/>
  <c r="H79" i="10"/>
  <c r="G79" i="10"/>
  <c r="F79" i="10"/>
  <c r="E79" i="10"/>
  <c r="D79" i="10"/>
  <c r="C79" i="10"/>
  <c r="AE78" i="10"/>
  <c r="AD78" i="10"/>
  <c r="AC78" i="10"/>
  <c r="Y78" i="10"/>
  <c r="S78" i="10"/>
  <c r="R78" i="10"/>
  <c r="Q78" i="10"/>
  <c r="P78" i="10"/>
  <c r="O78" i="10"/>
  <c r="N78" i="10"/>
  <c r="H78" i="10"/>
  <c r="G78" i="10"/>
  <c r="F78" i="10"/>
  <c r="E78" i="10"/>
  <c r="D78" i="10"/>
  <c r="C78" i="10"/>
  <c r="AE77" i="10"/>
  <c r="AD77" i="10"/>
  <c r="AC77" i="10"/>
  <c r="Y77" i="10"/>
  <c r="S77" i="10"/>
  <c r="R77" i="10"/>
  <c r="Q77" i="10"/>
  <c r="P77" i="10"/>
  <c r="O77" i="10"/>
  <c r="N77" i="10"/>
  <c r="H77" i="10"/>
  <c r="G77" i="10"/>
  <c r="F77" i="10"/>
  <c r="E77" i="10"/>
  <c r="D77" i="10"/>
  <c r="C77" i="10"/>
  <c r="AE76" i="10"/>
  <c r="AD76" i="10"/>
  <c r="AC76" i="10"/>
  <c r="Y76" i="10"/>
  <c r="S76" i="10"/>
  <c r="R76" i="10"/>
  <c r="Q76" i="10"/>
  <c r="P76" i="10"/>
  <c r="O76" i="10"/>
  <c r="N76" i="10"/>
  <c r="H76" i="10"/>
  <c r="G76" i="10"/>
  <c r="F76" i="10"/>
  <c r="E76" i="10"/>
  <c r="D76" i="10"/>
  <c r="C76" i="10"/>
  <c r="AE75" i="10"/>
  <c r="AD75" i="10"/>
  <c r="AC75" i="10"/>
  <c r="Y75" i="10"/>
  <c r="S75" i="10"/>
  <c r="R75" i="10"/>
  <c r="Q75" i="10"/>
  <c r="P75" i="10"/>
  <c r="O75" i="10"/>
  <c r="N75" i="10"/>
  <c r="H75" i="10"/>
  <c r="G75" i="10"/>
  <c r="F75" i="10"/>
  <c r="E75" i="10"/>
  <c r="D75" i="10"/>
  <c r="C75" i="10"/>
  <c r="C74" i="10" s="1"/>
  <c r="C73" i="10" s="1"/>
  <c r="C72" i="10" s="1"/>
  <c r="C71" i="10" s="1"/>
  <c r="C70" i="10" s="1"/>
  <c r="C69" i="10" s="1"/>
  <c r="C68" i="10" s="1"/>
  <c r="C67" i="10" s="1"/>
  <c r="C66" i="10" s="1"/>
  <c r="C65" i="10" s="1"/>
  <c r="C64" i="10" s="1"/>
  <c r="C63" i="10" s="1"/>
  <c r="C62" i="10" s="1"/>
  <c r="C61" i="10" s="1"/>
  <c r="R60" i="10"/>
  <c r="X60" i="10" s="1"/>
  <c r="AD60" i="10" s="1"/>
  <c r="H60" i="10"/>
  <c r="S60" i="10" s="1"/>
  <c r="Y60" i="10" s="1"/>
  <c r="AE60" i="10" s="1"/>
  <c r="G60" i="10"/>
  <c r="F60" i="10"/>
  <c r="Q60" i="10" s="1"/>
  <c r="W60" i="10" s="1"/>
  <c r="AC60" i="10" s="1"/>
  <c r="E60" i="10"/>
  <c r="P60" i="10" s="1"/>
  <c r="V60" i="10" s="1"/>
  <c r="AB60" i="10" s="1"/>
  <c r="D60" i="10"/>
  <c r="O60" i="10" s="1"/>
  <c r="U60" i="10" s="1"/>
  <c r="AA60" i="10" s="1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AE60" i="4"/>
  <c r="AD60" i="4"/>
  <c r="AC60" i="4"/>
  <c r="AB60" i="4"/>
  <c r="AA60" i="4"/>
  <c r="Y60" i="4"/>
  <c r="X60" i="4"/>
  <c r="W60" i="4"/>
  <c r="V60" i="4"/>
  <c r="U60" i="4"/>
  <c r="S104" i="4"/>
  <c r="R104" i="4"/>
  <c r="Q104" i="4"/>
  <c r="P104" i="4"/>
  <c r="O104" i="4"/>
  <c r="S103" i="4"/>
  <c r="R103" i="4"/>
  <c r="Q103" i="4"/>
  <c r="P103" i="4"/>
  <c r="O103" i="4"/>
  <c r="S102" i="4"/>
  <c r="R102" i="4"/>
  <c r="Q102" i="4"/>
  <c r="P102" i="4"/>
  <c r="O102" i="4"/>
  <c r="S101" i="4"/>
  <c r="R101" i="4"/>
  <c r="Q101" i="4"/>
  <c r="P101" i="4"/>
  <c r="O101" i="4"/>
  <c r="S100" i="4"/>
  <c r="R100" i="4"/>
  <c r="Q100" i="4"/>
  <c r="P100" i="4"/>
  <c r="O100" i="4"/>
  <c r="S99" i="4"/>
  <c r="R99" i="4"/>
  <c r="Q99" i="4"/>
  <c r="P99" i="4"/>
  <c r="O99" i="4"/>
  <c r="S98" i="4"/>
  <c r="R98" i="4"/>
  <c r="Q98" i="4"/>
  <c r="P98" i="4"/>
  <c r="O98" i="4"/>
  <c r="S97" i="4"/>
  <c r="R97" i="4"/>
  <c r="Q97" i="4"/>
  <c r="P97" i="4"/>
  <c r="O97" i="4"/>
  <c r="S96" i="4"/>
  <c r="R96" i="4"/>
  <c r="Q96" i="4"/>
  <c r="P96" i="4"/>
  <c r="O96" i="4"/>
  <c r="S95" i="4"/>
  <c r="R95" i="4"/>
  <c r="Q95" i="4"/>
  <c r="P95" i="4"/>
  <c r="O95" i="4"/>
  <c r="S94" i="4"/>
  <c r="R94" i="4"/>
  <c r="Q94" i="4"/>
  <c r="P94" i="4"/>
  <c r="O94" i="4"/>
  <c r="S93" i="4"/>
  <c r="R93" i="4"/>
  <c r="Q93" i="4"/>
  <c r="P93" i="4"/>
  <c r="O93" i="4"/>
  <c r="S92" i="4"/>
  <c r="R92" i="4"/>
  <c r="Q92" i="4"/>
  <c r="P92" i="4"/>
  <c r="O92" i="4"/>
  <c r="S91" i="4"/>
  <c r="R91" i="4"/>
  <c r="Q91" i="4"/>
  <c r="P91" i="4"/>
  <c r="O91" i="4"/>
  <c r="S90" i="4"/>
  <c r="R90" i="4"/>
  <c r="Q90" i="4"/>
  <c r="P90" i="4"/>
  <c r="O90" i="4"/>
  <c r="S89" i="4"/>
  <c r="R89" i="4"/>
  <c r="Q89" i="4"/>
  <c r="P89" i="4"/>
  <c r="O89" i="4"/>
  <c r="S88" i="4"/>
  <c r="R88" i="4"/>
  <c r="Q88" i="4"/>
  <c r="P88" i="4"/>
  <c r="O88" i="4"/>
  <c r="S87" i="4"/>
  <c r="R87" i="4"/>
  <c r="Q87" i="4"/>
  <c r="P87" i="4"/>
  <c r="O87" i="4"/>
  <c r="S86" i="4"/>
  <c r="R86" i="4"/>
  <c r="Q86" i="4"/>
  <c r="P86" i="4"/>
  <c r="O86" i="4"/>
  <c r="S85" i="4"/>
  <c r="R85" i="4"/>
  <c r="Q85" i="4"/>
  <c r="P85" i="4"/>
  <c r="O85" i="4"/>
  <c r="S84" i="4"/>
  <c r="R84" i="4"/>
  <c r="Q84" i="4"/>
  <c r="P84" i="4"/>
  <c r="O84" i="4"/>
  <c r="S83" i="4"/>
  <c r="R83" i="4"/>
  <c r="Q83" i="4"/>
  <c r="P83" i="4"/>
  <c r="O83" i="4"/>
  <c r="S82" i="4"/>
  <c r="R82" i="4"/>
  <c r="Q82" i="4"/>
  <c r="P82" i="4"/>
  <c r="O82" i="4"/>
  <c r="S81" i="4"/>
  <c r="R81" i="4"/>
  <c r="Q81" i="4"/>
  <c r="P81" i="4"/>
  <c r="O81" i="4"/>
  <c r="S80" i="4"/>
  <c r="R80" i="4"/>
  <c r="Q80" i="4"/>
  <c r="P80" i="4"/>
  <c r="O80" i="4"/>
  <c r="S79" i="4"/>
  <c r="R79" i="4"/>
  <c r="Q79" i="4"/>
  <c r="P79" i="4"/>
  <c r="O79" i="4"/>
  <c r="S78" i="4"/>
  <c r="R78" i="4"/>
  <c r="Q78" i="4"/>
  <c r="P78" i="4"/>
  <c r="O78" i="4"/>
  <c r="S77" i="4"/>
  <c r="R77" i="4"/>
  <c r="Q77" i="4"/>
  <c r="P77" i="4"/>
  <c r="O77" i="4"/>
  <c r="S76" i="4"/>
  <c r="R76" i="4"/>
  <c r="Q76" i="4"/>
  <c r="P76" i="4"/>
  <c r="O76" i="4"/>
  <c r="S75" i="4"/>
  <c r="R75" i="4"/>
  <c r="Q75" i="4"/>
  <c r="P75" i="4"/>
  <c r="O7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H104" i="4"/>
  <c r="G104" i="4"/>
  <c r="F104" i="4"/>
  <c r="E104" i="4"/>
  <c r="D104" i="4"/>
  <c r="H103" i="4"/>
  <c r="G103" i="4"/>
  <c r="F103" i="4"/>
  <c r="E103" i="4"/>
  <c r="D103" i="4"/>
  <c r="H102" i="4"/>
  <c r="G102" i="4"/>
  <c r="F102" i="4"/>
  <c r="E102" i="4"/>
  <c r="D102" i="4"/>
  <c r="H101" i="4"/>
  <c r="G101" i="4"/>
  <c r="F101" i="4"/>
  <c r="E101" i="4"/>
  <c r="D101" i="4"/>
  <c r="H100" i="4"/>
  <c r="G100" i="4"/>
  <c r="F100" i="4"/>
  <c r="E100" i="4"/>
  <c r="D100" i="4"/>
  <c r="H99" i="4"/>
  <c r="G99" i="4"/>
  <c r="F99" i="4"/>
  <c r="E99" i="4"/>
  <c r="D99" i="4"/>
  <c r="H98" i="4"/>
  <c r="G98" i="4"/>
  <c r="F98" i="4"/>
  <c r="E98" i="4"/>
  <c r="D98" i="4"/>
  <c r="H97" i="4"/>
  <c r="G97" i="4"/>
  <c r="F97" i="4"/>
  <c r="E97" i="4"/>
  <c r="D97" i="4"/>
  <c r="H96" i="4"/>
  <c r="G96" i="4"/>
  <c r="F96" i="4"/>
  <c r="E96" i="4"/>
  <c r="D96" i="4"/>
  <c r="H95" i="4"/>
  <c r="G95" i="4"/>
  <c r="F95" i="4"/>
  <c r="E95" i="4"/>
  <c r="D95" i="4"/>
  <c r="H94" i="4"/>
  <c r="G94" i="4"/>
  <c r="F94" i="4"/>
  <c r="E94" i="4"/>
  <c r="D94" i="4"/>
  <c r="H93" i="4"/>
  <c r="G93" i="4"/>
  <c r="F93" i="4"/>
  <c r="E93" i="4"/>
  <c r="D93" i="4"/>
  <c r="H92" i="4"/>
  <c r="G92" i="4"/>
  <c r="F92" i="4"/>
  <c r="E92" i="4"/>
  <c r="D92" i="4"/>
  <c r="H91" i="4"/>
  <c r="G91" i="4"/>
  <c r="F91" i="4"/>
  <c r="E91" i="4"/>
  <c r="D91" i="4"/>
  <c r="H90" i="4"/>
  <c r="G90" i="4"/>
  <c r="F90" i="4"/>
  <c r="E90" i="4"/>
  <c r="D90" i="4"/>
  <c r="H89" i="4"/>
  <c r="G89" i="4"/>
  <c r="F89" i="4"/>
  <c r="E89" i="4"/>
  <c r="D89" i="4"/>
  <c r="H88" i="4"/>
  <c r="G88" i="4"/>
  <c r="F88" i="4"/>
  <c r="E88" i="4"/>
  <c r="D88" i="4"/>
  <c r="H87" i="4"/>
  <c r="G87" i="4"/>
  <c r="F87" i="4"/>
  <c r="E87" i="4"/>
  <c r="D87" i="4"/>
  <c r="H86" i="4"/>
  <c r="G86" i="4"/>
  <c r="F86" i="4"/>
  <c r="E86" i="4"/>
  <c r="D86" i="4"/>
  <c r="H85" i="4"/>
  <c r="G85" i="4"/>
  <c r="F85" i="4"/>
  <c r="E85" i="4"/>
  <c r="D85" i="4"/>
  <c r="H84" i="4"/>
  <c r="G84" i="4"/>
  <c r="F84" i="4"/>
  <c r="E84" i="4"/>
  <c r="D84" i="4"/>
  <c r="H83" i="4"/>
  <c r="G83" i="4"/>
  <c r="F83" i="4"/>
  <c r="E83" i="4"/>
  <c r="D83" i="4"/>
  <c r="H82" i="4"/>
  <c r="G82" i="4"/>
  <c r="F82" i="4"/>
  <c r="E82" i="4"/>
  <c r="D82" i="4"/>
  <c r="H81" i="4"/>
  <c r="G81" i="4"/>
  <c r="F81" i="4"/>
  <c r="E81" i="4"/>
  <c r="D81" i="4"/>
  <c r="H80" i="4"/>
  <c r="G80" i="4"/>
  <c r="F80" i="4"/>
  <c r="E80" i="4"/>
  <c r="D80" i="4"/>
  <c r="H79" i="4"/>
  <c r="G79" i="4"/>
  <c r="F79" i="4"/>
  <c r="E79" i="4"/>
  <c r="D79" i="4"/>
  <c r="H78" i="4"/>
  <c r="G78" i="4"/>
  <c r="F78" i="4"/>
  <c r="E78" i="4"/>
  <c r="D78" i="4"/>
  <c r="H77" i="4"/>
  <c r="G77" i="4"/>
  <c r="F77" i="4"/>
  <c r="E77" i="4"/>
  <c r="D77" i="4"/>
  <c r="H76" i="4"/>
  <c r="G76" i="4"/>
  <c r="F76" i="4"/>
  <c r="E76" i="4"/>
  <c r="D76" i="4"/>
  <c r="H75" i="4"/>
  <c r="G75" i="4"/>
  <c r="F75" i="4"/>
  <c r="E75" i="4"/>
  <c r="D75" i="4"/>
  <c r="S60" i="4"/>
  <c r="R60" i="4"/>
  <c r="Q60" i="4"/>
  <c r="P60" i="4"/>
  <c r="O60" i="4"/>
  <c r="H60" i="4"/>
  <c r="G60" i="4"/>
  <c r="F60" i="4"/>
  <c r="E60" i="4"/>
  <c r="D60" i="4"/>
  <c r="C73" i="4"/>
  <c r="C72" i="4" s="1"/>
  <c r="C71" i="4" s="1"/>
  <c r="C70" i="4" s="1"/>
  <c r="C69" i="4" s="1"/>
  <c r="C68" i="4" s="1"/>
  <c r="C67" i="4" s="1"/>
  <c r="C66" i="4" s="1"/>
  <c r="C65" i="4" s="1"/>
  <c r="C64" i="4" s="1"/>
  <c r="C63" i="4" s="1"/>
  <c r="C62" i="4" s="1"/>
  <c r="C61" i="4" s="1"/>
  <c r="C74" i="4"/>
  <c r="C7" i="11"/>
  <c r="C8" i="11"/>
  <c r="C9" i="11"/>
  <c r="C10" i="11"/>
  <c r="C11" i="11"/>
  <c r="C13" i="11"/>
  <c r="C14" i="11"/>
  <c r="C15" i="11"/>
  <c r="C16" i="11"/>
  <c r="C17" i="11"/>
  <c r="C18" i="11"/>
  <c r="C19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B21" i="1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L73" i="9"/>
  <c r="K73" i="9"/>
  <c r="J73" i="9"/>
  <c r="I73" i="9"/>
  <c r="L73" i="8"/>
  <c r="K73" i="8"/>
  <c r="J73" i="8"/>
  <c r="I73" i="8"/>
  <c r="L73" i="7"/>
  <c r="K73" i="7"/>
  <c r="J73" i="7"/>
  <c r="I73" i="7"/>
  <c r="L72" i="7"/>
  <c r="K72" i="7"/>
  <c r="J72" i="7"/>
  <c r="I72" i="7"/>
  <c r="L71" i="7"/>
  <c r="K71" i="7"/>
  <c r="J71" i="7"/>
  <c r="I71" i="7"/>
  <c r="L70" i="7"/>
  <c r="K70" i="7"/>
  <c r="J70" i="7"/>
  <c r="I70" i="7"/>
  <c r="L73" i="1"/>
  <c r="K73" i="1"/>
  <c r="J73" i="1"/>
  <c r="I73" i="1"/>
  <c r="L72" i="1"/>
  <c r="K72" i="1"/>
  <c r="J72" i="1"/>
  <c r="I72" i="1"/>
  <c r="L71" i="1"/>
  <c r="K71" i="1"/>
  <c r="J71" i="1"/>
  <c r="I71" i="1"/>
  <c r="L70" i="1"/>
  <c r="K70" i="1"/>
  <c r="J70" i="1"/>
  <c r="I70" i="1"/>
  <c r="Z100" i="9"/>
  <c r="AA103" i="8"/>
  <c r="Z103" i="8"/>
  <c r="I12" i="12" l="1"/>
  <c r="I9" i="12"/>
  <c r="I6" i="12"/>
  <c r="I7" i="12" s="1"/>
  <c r="I8" i="12" s="1"/>
  <c r="B12" i="12"/>
  <c r="B9" i="12"/>
  <c r="B10" i="12" s="1"/>
  <c r="B11" i="12" s="1"/>
  <c r="B6" i="12"/>
  <c r="Y35" i="12"/>
  <c r="X35" i="12"/>
  <c r="W35" i="12"/>
  <c r="V35" i="12"/>
  <c r="Q35" i="12"/>
  <c r="F35" i="12"/>
  <c r="E35" i="12"/>
  <c r="D35" i="12"/>
  <c r="Y20" i="12"/>
  <c r="X20" i="12"/>
  <c r="W20" i="12"/>
  <c r="V20" i="12"/>
  <c r="Q20" i="12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F20" i="12"/>
  <c r="E20" i="12"/>
  <c r="D20" i="12"/>
  <c r="Y12" i="12"/>
  <c r="X12" i="12"/>
  <c r="W12" i="12"/>
  <c r="V12" i="12"/>
  <c r="V13" i="12" s="1"/>
  <c r="V14" i="12" s="1"/>
  <c r="V15" i="12" s="1"/>
  <c r="V16" i="12" s="1"/>
  <c r="V17" i="12" s="1"/>
  <c r="V18" i="12" s="1"/>
  <c r="V19" i="12" s="1"/>
  <c r="Q12" i="12"/>
  <c r="Q13" i="12" s="1"/>
  <c r="Q14" i="12" s="1"/>
  <c r="Q15" i="12" s="1"/>
  <c r="Q16" i="12" s="1"/>
  <c r="Q17" i="12" s="1"/>
  <c r="Q18" i="12" s="1"/>
  <c r="Q19" i="12" s="1"/>
  <c r="F12" i="12"/>
  <c r="E12" i="12"/>
  <c r="D12" i="12"/>
  <c r="Y6" i="12"/>
  <c r="X6" i="12"/>
  <c r="W6" i="12"/>
  <c r="W7" i="12" s="1"/>
  <c r="W8" i="12" s="1"/>
  <c r="W9" i="12" s="1"/>
  <c r="W10" i="12" s="1"/>
  <c r="W11" i="12" s="1"/>
  <c r="V6" i="12"/>
  <c r="Q6" i="12"/>
  <c r="Q7" i="12" s="1"/>
  <c r="Q8" i="12" s="1"/>
  <c r="Q9" i="12" s="1"/>
  <c r="Q10" i="12" s="1"/>
  <c r="Q11" i="12" s="1"/>
  <c r="F6" i="12"/>
  <c r="E6" i="12"/>
  <c r="D6" i="12"/>
  <c r="C6" i="12"/>
  <c r="AC2" i="12"/>
  <c r="Y21" i="12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X21" i="12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W21" i="12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V21" i="12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X13" i="12"/>
  <c r="X14" i="12" s="1"/>
  <c r="X15" i="12" s="1"/>
  <c r="X16" i="12" s="1"/>
  <c r="X17" i="12" s="1"/>
  <c r="X18" i="12" s="1"/>
  <c r="X19" i="12" s="1"/>
  <c r="W13" i="12"/>
  <c r="W14" i="12" s="1"/>
  <c r="W15" i="12" s="1"/>
  <c r="W16" i="12" s="1"/>
  <c r="W17" i="12" s="1"/>
  <c r="W18" i="12" s="1"/>
  <c r="W19" i="12" s="1"/>
  <c r="I13" i="12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B13" i="12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I10" i="12"/>
  <c r="I11" i="12" s="1"/>
  <c r="Y7" i="12"/>
  <c r="Y8" i="12" s="1"/>
  <c r="Y9" i="12" s="1"/>
  <c r="Y10" i="12" s="1"/>
  <c r="Y11" i="12" s="1"/>
  <c r="X7" i="12"/>
  <c r="X8" i="12" s="1"/>
  <c r="X9" i="12" s="1"/>
  <c r="X10" i="12" s="1"/>
  <c r="X11" i="12" s="1"/>
  <c r="B7" i="12"/>
  <c r="B8" i="12" s="1"/>
  <c r="F3" i="12"/>
  <c r="D3" i="12"/>
  <c r="C3" i="12"/>
  <c r="AC6" i="12"/>
  <c r="X74" i="9"/>
  <c r="X78" i="9" s="1"/>
  <c r="X75" i="9"/>
  <c r="X76" i="9"/>
  <c r="N99" i="9"/>
  <c r="N75" i="9" s="1"/>
  <c r="AA98" i="9"/>
  <c r="Z98" i="9"/>
  <c r="AA97" i="9"/>
  <c r="Z97" i="9"/>
  <c r="Y96" i="9"/>
  <c r="X96" i="9" a="1"/>
  <c r="X96" i="9" s="1"/>
  <c r="V96" i="9"/>
  <c r="V100" i="9" s="1"/>
  <c r="V76" i="9" s="1"/>
  <c r="V96" i="9" a="1"/>
  <c r="U96" i="9"/>
  <c r="U100" i="9" s="1"/>
  <c r="U76" i="9" s="1"/>
  <c r="U96" i="9" a="1"/>
  <c r="T96" i="9" a="1"/>
  <c r="T96" i="9" s="1"/>
  <c r="T100" i="9" s="1"/>
  <c r="T76" i="9" s="1"/>
  <c r="S96" i="9" a="1"/>
  <c r="S96" i="9" s="1"/>
  <c r="S100" i="9" s="1"/>
  <c r="S76" i="9" s="1"/>
  <c r="Q96" i="9"/>
  <c r="Q100" i="9" s="1"/>
  <c r="Q76" i="9" s="1"/>
  <c r="Q96" i="9" a="1"/>
  <c r="P96" i="9"/>
  <c r="P100" i="9" s="1"/>
  <c r="P76" i="9" s="1"/>
  <c r="P96" i="9" a="1"/>
  <c r="O96" i="9" a="1"/>
  <c r="O96" i="9" s="1"/>
  <c r="O100" i="9" s="1"/>
  <c r="O76" i="9" s="1"/>
  <c r="N96" i="9" a="1"/>
  <c r="N96" i="9" s="1"/>
  <c r="N100" i="9" s="1"/>
  <c r="N76" i="9" s="1"/>
  <c r="L96" i="9"/>
  <c r="L100" i="9" s="1"/>
  <c r="L76" i="9" s="1"/>
  <c r="K96" i="9"/>
  <c r="K100" i="9" s="1"/>
  <c r="K76" i="9" s="1"/>
  <c r="J96" i="9"/>
  <c r="J100" i="9" s="1"/>
  <c r="J76" i="9" s="1"/>
  <c r="I96" i="9"/>
  <c r="I100" i="9" s="1"/>
  <c r="I76" i="9" s="1"/>
  <c r="G96" i="9" a="1"/>
  <c r="G96" i="9" s="1"/>
  <c r="F96" i="9" a="1"/>
  <c r="F96" i="9" s="1"/>
  <c r="E96" i="9"/>
  <c r="E96" i="9" a="1"/>
  <c r="D96" i="9"/>
  <c r="D96" i="9" a="1"/>
  <c r="Y95" i="9"/>
  <c r="X95" i="9"/>
  <c r="X95" i="9" a="1"/>
  <c r="V95" i="9" a="1"/>
  <c r="V95" i="9" s="1"/>
  <c r="V99" i="9" s="1"/>
  <c r="V75" i="9" s="1"/>
  <c r="U95" i="9" a="1"/>
  <c r="U95" i="9" s="1"/>
  <c r="U99" i="9" s="1"/>
  <c r="U75" i="9" s="1"/>
  <c r="T95" i="9"/>
  <c r="T99" i="9" s="1"/>
  <c r="T75" i="9" s="1"/>
  <c r="T95" i="9" a="1"/>
  <c r="S95" i="9"/>
  <c r="S99" i="9" s="1"/>
  <c r="S75" i="9" s="1"/>
  <c r="S95" i="9" a="1"/>
  <c r="Q95" i="9" a="1"/>
  <c r="Q95" i="9" s="1"/>
  <c r="Q99" i="9" s="1"/>
  <c r="Q75" i="9" s="1"/>
  <c r="P95" i="9" a="1"/>
  <c r="P95" i="9" s="1"/>
  <c r="P99" i="9" s="1"/>
  <c r="P75" i="9" s="1"/>
  <c r="O95" i="9"/>
  <c r="O99" i="9" s="1"/>
  <c r="O75" i="9" s="1"/>
  <c r="O95" i="9" a="1"/>
  <c r="N95" i="9"/>
  <c r="N95" i="9" a="1"/>
  <c r="L95" i="9"/>
  <c r="L99" i="9" s="1"/>
  <c r="L75" i="9" s="1"/>
  <c r="K95" i="9"/>
  <c r="K99" i="9" s="1"/>
  <c r="K75" i="9" s="1"/>
  <c r="J95" i="9"/>
  <c r="J99" i="9" s="1"/>
  <c r="J75" i="9" s="1"/>
  <c r="I95" i="9"/>
  <c r="I99" i="9" s="1"/>
  <c r="I75" i="9" s="1"/>
  <c r="G95" i="9"/>
  <c r="G95" i="9" a="1"/>
  <c r="F95" i="9" a="1"/>
  <c r="F95" i="9" s="1"/>
  <c r="E95" i="9" a="1"/>
  <c r="E95" i="9" s="1"/>
  <c r="D95" i="9" a="1"/>
  <c r="D95" i="9" s="1"/>
  <c r="Y94" i="9"/>
  <c r="X94" i="9" a="1"/>
  <c r="X94" i="9" s="1"/>
  <c r="V94" i="9" a="1"/>
  <c r="V94" i="9" s="1"/>
  <c r="V98" i="9" s="1"/>
  <c r="V74" i="9" s="1"/>
  <c r="U94" i="9"/>
  <c r="U98" i="9" s="1"/>
  <c r="U74" i="9" s="1"/>
  <c r="U94" i="9" a="1"/>
  <c r="T94" i="9"/>
  <c r="T98" i="9" s="1"/>
  <c r="T74" i="9" s="1"/>
  <c r="T94" i="9" a="1"/>
  <c r="S94" i="9" a="1"/>
  <c r="S94" i="9" s="1"/>
  <c r="S98" i="9" s="1"/>
  <c r="S74" i="9" s="1"/>
  <c r="Q94" i="9" a="1"/>
  <c r="Q94" i="9" s="1"/>
  <c r="Q98" i="9" s="1"/>
  <c r="Q74" i="9" s="1"/>
  <c r="P94" i="9"/>
  <c r="P98" i="9" s="1"/>
  <c r="P74" i="9" s="1"/>
  <c r="P94" i="9" a="1"/>
  <c r="O94" i="9"/>
  <c r="O98" i="9" s="1"/>
  <c r="O74" i="9" s="1"/>
  <c r="O94" i="9" a="1"/>
  <c r="N94" i="9" a="1"/>
  <c r="N94" i="9" s="1"/>
  <c r="N98" i="9" s="1"/>
  <c r="N74" i="9" s="1"/>
  <c r="L94" i="9"/>
  <c r="L98" i="9" s="1"/>
  <c r="L74" i="9" s="1"/>
  <c r="K94" i="9"/>
  <c r="K98" i="9" s="1"/>
  <c r="K74" i="9" s="1"/>
  <c r="J94" i="9"/>
  <c r="J98" i="9" s="1"/>
  <c r="J74" i="9" s="1"/>
  <c r="I94" i="9"/>
  <c r="I98" i="9" s="1"/>
  <c r="I74" i="9" s="1"/>
  <c r="G94" i="9"/>
  <c r="G94" i="9" a="1"/>
  <c r="F94" i="9" a="1"/>
  <c r="F94" i="9" s="1"/>
  <c r="E94" i="9" a="1"/>
  <c r="E94" i="9" s="1"/>
  <c r="D94" i="9"/>
  <c r="D94" i="9" a="1"/>
  <c r="Z66" i="9"/>
  <c r="Y66" i="9"/>
  <c r="Y67" i="9" s="1"/>
  <c r="X66" i="9"/>
  <c r="Z65" i="9"/>
  <c r="Y65" i="9"/>
  <c r="X65" i="9"/>
  <c r="Z64" i="9"/>
  <c r="Y64" i="9"/>
  <c r="X64" i="9"/>
  <c r="Z67" i="9"/>
  <c r="AA98" i="8"/>
  <c r="G98" i="8" s="1"/>
  <c r="Z98" i="8"/>
  <c r="V76" i="8"/>
  <c r="U76" i="8"/>
  <c r="T76" i="8"/>
  <c r="S76" i="8"/>
  <c r="Q76" i="8"/>
  <c r="P76" i="8"/>
  <c r="O76" i="8"/>
  <c r="N76" i="8"/>
  <c r="K76" i="8"/>
  <c r="V75" i="8"/>
  <c r="U75" i="8"/>
  <c r="T75" i="8"/>
  <c r="S75" i="8"/>
  <c r="Q75" i="8"/>
  <c r="P75" i="8"/>
  <c r="O75" i="8"/>
  <c r="N75" i="8"/>
  <c r="V74" i="8"/>
  <c r="U74" i="8"/>
  <c r="T74" i="8"/>
  <c r="S74" i="8"/>
  <c r="Q74" i="8"/>
  <c r="P74" i="8"/>
  <c r="O74" i="8"/>
  <c r="N74" i="8"/>
  <c r="E6" i="4"/>
  <c r="E12" i="4"/>
  <c r="V100" i="8"/>
  <c r="U100" i="8"/>
  <c r="T100" i="8"/>
  <c r="S100" i="8"/>
  <c r="V99" i="8"/>
  <c r="U99" i="8"/>
  <c r="T99" i="8"/>
  <c r="S99" i="8"/>
  <c r="V98" i="8"/>
  <c r="U98" i="8"/>
  <c r="T98" i="8"/>
  <c r="S98" i="8"/>
  <c r="Q100" i="8"/>
  <c r="P100" i="8"/>
  <c r="O100" i="8"/>
  <c r="N100" i="8"/>
  <c r="Q99" i="8"/>
  <c r="P99" i="8"/>
  <c r="O99" i="8"/>
  <c r="N99" i="8"/>
  <c r="Q98" i="8"/>
  <c r="P98" i="8"/>
  <c r="O98" i="8"/>
  <c r="N98" i="8"/>
  <c r="K100" i="8"/>
  <c r="J100" i="8"/>
  <c r="J76" i="8" s="1"/>
  <c r="I100" i="8"/>
  <c r="I76" i="8" s="1"/>
  <c r="L99" i="8"/>
  <c r="L75" i="8" s="1"/>
  <c r="L78" i="8" s="1"/>
  <c r="I99" i="8"/>
  <c r="I75" i="8" s="1"/>
  <c r="L98" i="8"/>
  <c r="L74" i="8" s="1"/>
  <c r="I98" i="8"/>
  <c r="I74" i="8" s="1"/>
  <c r="L96" i="8"/>
  <c r="L100" i="8" s="1"/>
  <c r="L76" i="8" s="1"/>
  <c r="K96" i="8"/>
  <c r="J96" i="8"/>
  <c r="L95" i="8"/>
  <c r="K95" i="8"/>
  <c r="K99" i="8" s="1"/>
  <c r="K75" i="8" s="1"/>
  <c r="K78" i="8" s="1"/>
  <c r="J95" i="8"/>
  <c r="J99" i="8" s="1"/>
  <c r="J75" i="8" s="1"/>
  <c r="J78" i="8" s="1"/>
  <c r="L94" i="8"/>
  <c r="K94" i="8"/>
  <c r="K98" i="8" s="1"/>
  <c r="K74" i="8" s="1"/>
  <c r="J94" i="8"/>
  <c r="J98" i="8" s="1"/>
  <c r="J74" i="8" s="1"/>
  <c r="I96" i="8"/>
  <c r="I95" i="8"/>
  <c r="I94" i="8"/>
  <c r="AA97" i="8"/>
  <c r="Z97" i="8"/>
  <c r="V78" i="7"/>
  <c r="U78" i="7"/>
  <c r="T78" i="7"/>
  <c r="S78" i="7"/>
  <c r="Q78" i="7"/>
  <c r="P78" i="7"/>
  <c r="O78" i="7"/>
  <c r="N78" i="7"/>
  <c r="L78" i="7"/>
  <c r="E35" i="10" s="1"/>
  <c r="K78" i="7"/>
  <c r="E20" i="10" s="1"/>
  <c r="E27" i="10" s="1"/>
  <c r="J78" i="7"/>
  <c r="E12" i="10" s="1"/>
  <c r="E18" i="10" s="1"/>
  <c r="I78" i="7"/>
  <c r="E6" i="10" s="1"/>
  <c r="E10" i="10" s="1"/>
  <c r="G78" i="7"/>
  <c r="F78" i="7"/>
  <c r="E78" i="7"/>
  <c r="D78" i="7"/>
  <c r="V78" i="1"/>
  <c r="U78" i="1"/>
  <c r="T78" i="1"/>
  <c r="S78" i="1"/>
  <c r="Q78" i="1"/>
  <c r="P78" i="1"/>
  <c r="O78" i="1"/>
  <c r="N78" i="1"/>
  <c r="L78" i="1"/>
  <c r="E35" i="4" s="1"/>
  <c r="K78" i="1"/>
  <c r="E20" i="4" s="1"/>
  <c r="J78" i="1"/>
  <c r="I78" i="1"/>
  <c r="L67" i="1"/>
  <c r="K67" i="1"/>
  <c r="J67" i="1"/>
  <c r="I67" i="1"/>
  <c r="G78" i="1"/>
  <c r="F78" i="1"/>
  <c r="E78" i="1"/>
  <c r="D78" i="1"/>
  <c r="Y96" i="8"/>
  <c r="Y95" i="8"/>
  <c r="Y94" i="8"/>
  <c r="X96" i="8" a="1"/>
  <c r="X95" i="8" a="1"/>
  <c r="X94" i="8" a="1"/>
  <c r="V96" i="8" a="1"/>
  <c r="U96" i="8" a="1"/>
  <c r="T96" i="8" a="1"/>
  <c r="S96" i="8" a="1"/>
  <c r="Q96" i="8" a="1"/>
  <c r="P96" i="8" a="1"/>
  <c r="O96" i="8" a="1"/>
  <c r="N96" i="8" a="1"/>
  <c r="G96" i="8" a="1"/>
  <c r="F96" i="8" a="1"/>
  <c r="E96" i="8" a="1"/>
  <c r="D96" i="8" a="1"/>
  <c r="V95" i="8" a="1"/>
  <c r="U95" i="8" a="1"/>
  <c r="T95" i="8" a="1"/>
  <c r="S95" i="8" a="1"/>
  <c r="Q95" i="8" a="1"/>
  <c r="P95" i="8" a="1"/>
  <c r="O95" i="8" a="1"/>
  <c r="N95" i="8" a="1"/>
  <c r="G95" i="8" a="1"/>
  <c r="F95" i="8" a="1"/>
  <c r="E95" i="8" a="1"/>
  <c r="D95" i="8" a="1"/>
  <c r="V94" i="8" a="1"/>
  <c r="U94" i="8" a="1"/>
  <c r="T94" i="8" a="1"/>
  <c r="S94" i="8" a="1"/>
  <c r="Q94" i="8" a="1"/>
  <c r="P94" i="8" a="1"/>
  <c r="O94" i="8" a="1"/>
  <c r="N94" i="8" a="1"/>
  <c r="G94" i="8" a="1"/>
  <c r="F94" i="8" a="1"/>
  <c r="E94" i="8" a="1"/>
  <c r="D94" i="8" a="1"/>
  <c r="AD6" i="12" l="1"/>
  <c r="E20" i="11"/>
  <c r="E35" i="11"/>
  <c r="E30" i="11" s="1"/>
  <c r="E37" i="12"/>
  <c r="E12" i="11"/>
  <c r="E15" i="11" s="1"/>
  <c r="I78" i="8"/>
  <c r="AE6" i="12"/>
  <c r="AF6" i="12"/>
  <c r="D11" i="12"/>
  <c r="AG6" i="12"/>
  <c r="V7" i="12"/>
  <c r="V8" i="12" s="1"/>
  <c r="V9" i="12" s="1"/>
  <c r="V10" i="12" s="1"/>
  <c r="V11" i="12" s="1"/>
  <c r="Y13" i="12"/>
  <c r="Y14" i="12" s="1"/>
  <c r="Y15" i="12" s="1"/>
  <c r="Y16" i="12" s="1"/>
  <c r="Y17" i="12" s="1"/>
  <c r="Y18" i="12" s="1"/>
  <c r="Y19" i="12" s="1"/>
  <c r="F9" i="12"/>
  <c r="K6" i="12"/>
  <c r="D8" i="12"/>
  <c r="D37" i="12"/>
  <c r="G99" i="9"/>
  <c r="G75" i="9" s="1"/>
  <c r="D99" i="9"/>
  <c r="D103" i="9" s="1"/>
  <c r="G100" i="9"/>
  <c r="G76" i="9" s="1"/>
  <c r="F100" i="9"/>
  <c r="F76" i="9" s="1"/>
  <c r="E100" i="9"/>
  <c r="D100" i="9"/>
  <c r="D98" i="9"/>
  <c r="F98" i="9"/>
  <c r="F74" i="9" s="1"/>
  <c r="G98" i="9"/>
  <c r="G74" i="9" s="1"/>
  <c r="E98" i="9"/>
  <c r="E99" i="9"/>
  <c r="F99" i="9"/>
  <c r="F75" i="9" s="1"/>
  <c r="X67" i="9"/>
  <c r="G78" i="9" a="1"/>
  <c r="O78" i="9" a="1"/>
  <c r="O78" i="9" s="1"/>
  <c r="T78" i="9" a="1"/>
  <c r="T78" i="9" s="1"/>
  <c r="D78" i="9" a="1"/>
  <c r="I78" i="9"/>
  <c r="P78" i="9" a="1"/>
  <c r="P78" i="9" s="1"/>
  <c r="U78" i="9" a="1"/>
  <c r="U78" i="9" s="1"/>
  <c r="J78" i="9"/>
  <c r="E78" i="9" a="1"/>
  <c r="K78" i="9"/>
  <c r="Q78" i="9" a="1"/>
  <c r="Q78" i="9" s="1"/>
  <c r="V78" i="9" a="1"/>
  <c r="V78" i="9" s="1"/>
  <c r="L78" i="9"/>
  <c r="F78" i="9" a="1"/>
  <c r="N78" i="9" a="1"/>
  <c r="N78" i="9" s="1"/>
  <c r="S78" i="9" a="1"/>
  <c r="S78" i="9" s="1"/>
  <c r="G99" i="8"/>
  <c r="G75" i="8" s="1"/>
  <c r="G100" i="8"/>
  <c r="G76" i="8" s="1"/>
  <c r="E99" i="8"/>
  <c r="E75" i="8" s="1"/>
  <c r="E98" i="8"/>
  <c r="E74" i="8" s="1"/>
  <c r="E100" i="8"/>
  <c r="E76" i="8" s="1"/>
  <c r="F98" i="8"/>
  <c r="F74" i="8" s="1"/>
  <c r="F99" i="8"/>
  <c r="F75" i="8" s="1"/>
  <c r="F100" i="8"/>
  <c r="F76" i="8" s="1"/>
  <c r="G74" i="8"/>
  <c r="D100" i="8"/>
  <c r="D76" i="8" s="1"/>
  <c r="E28" i="11"/>
  <c r="E13" i="11"/>
  <c r="E29" i="11"/>
  <c r="E19" i="11"/>
  <c r="E16" i="11"/>
  <c r="E32" i="11"/>
  <c r="E22" i="11"/>
  <c r="E17" i="11"/>
  <c r="E25" i="11"/>
  <c r="E14" i="11"/>
  <c r="E31" i="11"/>
  <c r="E18" i="11"/>
  <c r="E34" i="10"/>
  <c r="E28" i="10"/>
  <c r="E14" i="10"/>
  <c r="E22" i="10"/>
  <c r="E30" i="10"/>
  <c r="E29" i="10"/>
  <c r="E7" i="10"/>
  <c r="E15" i="10"/>
  <c r="E23" i="10"/>
  <c r="E31" i="10"/>
  <c r="E21" i="10"/>
  <c r="E8" i="10"/>
  <c r="E16" i="10"/>
  <c r="E24" i="10"/>
  <c r="E32" i="10"/>
  <c r="E11" i="10"/>
  <c r="E19" i="10"/>
  <c r="E13" i="10"/>
  <c r="E9" i="10"/>
  <c r="E17" i="10"/>
  <c r="E25" i="10"/>
  <c r="E33" i="10"/>
  <c r="E26" i="10"/>
  <c r="D99" i="8"/>
  <c r="D75" i="8" s="1"/>
  <c r="D98" i="8"/>
  <c r="D74" i="8" s="1"/>
  <c r="E6" i="11" l="1"/>
  <c r="F19" i="12"/>
  <c r="F18" i="12"/>
  <c r="F17" i="12"/>
  <c r="F16" i="12"/>
  <c r="F15" i="12"/>
  <c r="F14" i="12"/>
  <c r="F13" i="12"/>
  <c r="F10" i="12"/>
  <c r="E19" i="12"/>
  <c r="E18" i="12"/>
  <c r="E17" i="12"/>
  <c r="E16" i="12"/>
  <c r="E15" i="12"/>
  <c r="E14" i="12"/>
  <c r="E13" i="12"/>
  <c r="E24" i="11"/>
  <c r="E21" i="11"/>
  <c r="F8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11" i="12"/>
  <c r="E33" i="11"/>
  <c r="D19" i="12"/>
  <c r="D18" i="12"/>
  <c r="D17" i="12"/>
  <c r="D16" i="12"/>
  <c r="D15" i="12"/>
  <c r="D14" i="12"/>
  <c r="D13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M6" i="12"/>
  <c r="AL6" i="12" s="1"/>
  <c r="L6" i="12"/>
  <c r="AK6" i="12" s="1"/>
  <c r="N6" i="12"/>
  <c r="AM6" i="12" s="1"/>
  <c r="E23" i="11"/>
  <c r="E34" i="11"/>
  <c r="D9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7" i="11"/>
  <c r="D7" i="12"/>
  <c r="E26" i="11"/>
  <c r="F7" i="12"/>
  <c r="D10" i="12"/>
  <c r="AJ6" i="12"/>
  <c r="D75" i="9"/>
  <c r="G78" i="9"/>
  <c r="C35" i="12" s="1"/>
  <c r="C37" i="12" s="1"/>
  <c r="D102" i="9"/>
  <c r="D74" i="9"/>
  <c r="F78" i="9"/>
  <c r="C20" i="12" s="1"/>
  <c r="C32" i="12" s="1"/>
  <c r="D104" i="9"/>
  <c r="D76" i="9"/>
  <c r="E103" i="9"/>
  <c r="E75" i="9"/>
  <c r="E104" i="9"/>
  <c r="E76" i="9"/>
  <c r="E74" i="9"/>
  <c r="E102" i="9"/>
  <c r="C33" i="12" l="1"/>
  <c r="C26" i="12"/>
  <c r="C27" i="12"/>
  <c r="C25" i="12"/>
  <c r="C34" i="12"/>
  <c r="C28" i="12"/>
  <c r="C21" i="12"/>
  <c r="C29" i="12"/>
  <c r="E78" i="9"/>
  <c r="C22" i="12"/>
  <c r="C30" i="12"/>
  <c r="C23" i="12"/>
  <c r="C31" i="12"/>
  <c r="C24" i="12"/>
  <c r="E11" i="12"/>
  <c r="E10" i="12"/>
  <c r="E9" i="12"/>
  <c r="E8" i="12"/>
  <c r="E7" i="12"/>
  <c r="E10" i="11"/>
  <c r="E8" i="11"/>
  <c r="E7" i="11"/>
  <c r="E9" i="11"/>
  <c r="E11" i="11"/>
  <c r="D78" i="9"/>
  <c r="D84" i="9" s="1"/>
  <c r="E84" i="9" l="1"/>
  <c r="C12" i="12"/>
  <c r="C7" i="12" l="1"/>
  <c r="K7" i="12" s="1"/>
  <c r="C11" i="12"/>
  <c r="C10" i="12"/>
  <c r="C8" i="12"/>
  <c r="C9" i="12"/>
  <c r="C16" i="12"/>
  <c r="C15" i="12"/>
  <c r="C14" i="12"/>
  <c r="C13" i="12"/>
  <c r="C19" i="12"/>
  <c r="C18" i="12"/>
  <c r="C17" i="12"/>
  <c r="L7" i="12" l="1"/>
  <c r="K8" i="12"/>
  <c r="N7" i="12"/>
  <c r="M7" i="12"/>
  <c r="K9" i="12" l="1"/>
  <c r="L8" i="12"/>
  <c r="N8" i="12"/>
  <c r="M8" i="12"/>
  <c r="L9" i="12" l="1"/>
  <c r="K10" i="12"/>
  <c r="M9" i="12"/>
  <c r="N9" i="12"/>
  <c r="N10" i="12" l="1"/>
  <c r="L10" i="12"/>
  <c r="K11" i="12"/>
  <c r="M10" i="12"/>
  <c r="L11" i="12" l="1"/>
  <c r="M11" i="12"/>
  <c r="K12" i="12"/>
  <c r="N11" i="12"/>
  <c r="W50" i="3" a="1"/>
  <c r="W50" i="3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V50" i="3" a="1"/>
  <c r="V50" i="3" s="1"/>
  <c r="I9" i="10" s="1"/>
  <c r="I10" i="10" s="1"/>
  <c r="I11" i="10" s="1"/>
  <c r="U50" i="3" a="1"/>
  <c r="U50" i="3" s="1"/>
  <c r="I6" i="10" s="1"/>
  <c r="I7" i="10" s="1"/>
  <c r="I8" i="10" s="1"/>
  <c r="T50" i="3" a="1"/>
  <c r="T50" i="3" s="1"/>
  <c r="B12" i="4"/>
  <c r="B9" i="4"/>
  <c r="B6" i="4"/>
  <c r="B12" i="10"/>
  <c r="B9" i="10"/>
  <c r="B6" i="10"/>
  <c r="Y48" i="3"/>
  <c r="Y47" i="3"/>
  <c r="Y46" i="3"/>
  <c r="Y44" i="3"/>
  <c r="Y43" i="3"/>
  <c r="Y42" i="3"/>
  <c r="W51" i="3" s="1" a="1"/>
  <c r="W51" i="3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W45" i="3" a="1"/>
  <c r="W45" i="3" s="1"/>
  <c r="V45" i="3" a="1"/>
  <c r="V45" i="3" s="1"/>
  <c r="U45" i="3" a="1"/>
  <c r="U45" i="3" s="1"/>
  <c r="T45" i="3" a="1"/>
  <c r="T45" i="3" s="1"/>
  <c r="W41" i="3" a="1"/>
  <c r="W41" i="3" s="1"/>
  <c r="V41" i="3" a="1"/>
  <c r="V41" i="3" s="1"/>
  <c r="U41" i="3" a="1"/>
  <c r="U41" i="3" s="1"/>
  <c r="T41" i="3" a="1"/>
  <c r="T41" i="3" s="1"/>
  <c r="W37" i="3" a="1"/>
  <c r="W37" i="3" s="1"/>
  <c r="B12" i="11" s="1"/>
  <c r="B13" i="11" s="1"/>
  <c r="B14" i="11" s="1"/>
  <c r="B15" i="11" s="1"/>
  <c r="B16" i="11" s="1"/>
  <c r="B17" i="11" s="1"/>
  <c r="B18" i="11" s="1"/>
  <c r="B19" i="11" s="1"/>
  <c r="B20" i="11" s="1"/>
  <c r="V37" i="3"/>
  <c r="B9" i="11" s="1"/>
  <c r="B10" i="11" s="1"/>
  <c r="B11" i="11" s="1"/>
  <c r="V37" i="3" a="1"/>
  <c r="U37" i="3" a="1"/>
  <c r="U37" i="3" s="1"/>
  <c r="B6" i="11" s="1"/>
  <c r="B7" i="11" s="1"/>
  <c r="B8" i="11" s="1"/>
  <c r="T37" i="3" a="1"/>
  <c r="T37" i="3" s="1"/>
  <c r="W31" i="3" a="1"/>
  <c r="W31" i="3" s="1"/>
  <c r="V31" i="3" a="1"/>
  <c r="V31" i="3" s="1"/>
  <c r="U31" i="3" a="1"/>
  <c r="U31" i="3" s="1"/>
  <c r="T31" i="3" a="1"/>
  <c r="T31" i="3" s="1"/>
  <c r="W27" i="3" a="1"/>
  <c r="W27" i="3" s="1"/>
  <c r="V27" i="3" a="1"/>
  <c r="V27" i="3" s="1"/>
  <c r="U27" i="3" a="1"/>
  <c r="U27" i="3" s="1"/>
  <c r="T27" i="3" a="1"/>
  <c r="T27" i="3" s="1"/>
  <c r="W23" i="3" a="1"/>
  <c r="W23" i="3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V23" i="3" a="1"/>
  <c r="V23" i="3" s="1"/>
  <c r="I9" i="4" s="1"/>
  <c r="I10" i="4" s="1"/>
  <c r="I11" i="4" s="1"/>
  <c r="U23" i="3" a="1"/>
  <c r="U23" i="3" s="1"/>
  <c r="I6" i="4" s="1"/>
  <c r="I7" i="4" s="1"/>
  <c r="I8" i="4" s="1"/>
  <c r="T23" i="3" a="1"/>
  <c r="T23" i="3" s="1"/>
  <c r="V78" i="8" a="1"/>
  <c r="U78" i="8" a="1"/>
  <c r="T78" i="8" a="1"/>
  <c r="S78" i="8" a="1"/>
  <c r="Q78" i="8" a="1"/>
  <c r="P78" i="8" a="1"/>
  <c r="O78" i="8" a="1"/>
  <c r="N78" i="8" a="1"/>
  <c r="G78" i="8" a="1"/>
  <c r="F78" i="8" a="1"/>
  <c r="E78" i="8" a="1"/>
  <c r="D78" i="8" a="1"/>
  <c r="X76" i="8"/>
  <c r="X75" i="8"/>
  <c r="X74" i="8"/>
  <c r="Z66" i="8"/>
  <c r="Z65" i="8"/>
  <c r="Z64" i="8"/>
  <c r="Y66" i="8"/>
  <c r="Y65" i="8"/>
  <c r="Y64" i="8"/>
  <c r="X66" i="8"/>
  <c r="X64" i="8"/>
  <c r="X65" i="8"/>
  <c r="W13" i="3"/>
  <c r="Q35" i="11"/>
  <c r="Q20" i="11"/>
  <c r="Q12" i="11"/>
  <c r="Q6" i="11"/>
  <c r="K13" i="12" l="1"/>
  <c r="N12" i="12"/>
  <c r="M12" i="12"/>
  <c r="L12" i="12"/>
  <c r="Q94" i="8"/>
  <c r="G94" i="8"/>
  <c r="E94" i="8"/>
  <c r="S94" i="8"/>
  <c r="V94" i="8"/>
  <c r="U94" i="8"/>
  <c r="P94" i="8"/>
  <c r="X94" i="8"/>
  <c r="F94" i="8"/>
  <c r="D94" i="8"/>
  <c r="O94" i="8"/>
  <c r="T94" i="8"/>
  <c r="N94" i="8"/>
  <c r="D95" i="8"/>
  <c r="O95" i="8"/>
  <c r="Q95" i="8"/>
  <c r="T95" i="8"/>
  <c r="G95" i="8"/>
  <c r="N95" i="8"/>
  <c r="V95" i="8"/>
  <c r="X95" i="8"/>
  <c r="S95" i="8"/>
  <c r="F95" i="8"/>
  <c r="U95" i="8"/>
  <c r="E95" i="8"/>
  <c r="P95" i="8"/>
  <c r="F96" i="8"/>
  <c r="U96" i="8"/>
  <c r="E96" i="8"/>
  <c r="P96" i="8"/>
  <c r="Q96" i="8"/>
  <c r="G96" i="8"/>
  <c r="D96" i="8"/>
  <c r="O96" i="8"/>
  <c r="X96" i="8"/>
  <c r="T96" i="8"/>
  <c r="N96" i="8"/>
  <c r="S96" i="8"/>
  <c r="V96" i="8"/>
  <c r="T52" i="3" a="1"/>
  <c r="T52" i="3" s="1"/>
  <c r="X77" i="8"/>
  <c r="U52" i="3" a="1"/>
  <c r="U52" i="3" s="1"/>
  <c r="Z67" i="8"/>
  <c r="T51" i="3" a="1"/>
  <c r="T51" i="3" s="1"/>
  <c r="V52" i="3" a="1"/>
  <c r="V52" i="3" s="1"/>
  <c r="U51" i="3" a="1"/>
  <c r="U51" i="3" s="1"/>
  <c r="I6" i="11" s="1"/>
  <c r="I7" i="11" s="1"/>
  <c r="I8" i="11" s="1"/>
  <c r="W52" i="3" a="1"/>
  <c r="W52" i="3" s="1"/>
  <c r="Y67" i="8"/>
  <c r="V51" i="3" a="1"/>
  <c r="V51" i="3" s="1"/>
  <c r="I9" i="11" s="1"/>
  <c r="I10" i="11" s="1"/>
  <c r="I11" i="11" s="1"/>
  <c r="Q7" i="11"/>
  <c r="Q8" i="11" s="1"/>
  <c r="Q9" i="11" s="1"/>
  <c r="Q10" i="11" s="1"/>
  <c r="Q11" i="11" s="1"/>
  <c r="X67" i="8"/>
  <c r="Q13" i="11"/>
  <c r="Q14" i="11" s="1"/>
  <c r="Q15" i="11" s="1"/>
  <c r="Q16" i="11" s="1"/>
  <c r="Q17" i="11" s="1"/>
  <c r="Q18" i="11" s="1"/>
  <c r="Q19" i="11" s="1"/>
  <c r="Q21" i="1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L13" i="12" l="1"/>
  <c r="K14" i="12"/>
  <c r="N13" i="12"/>
  <c r="M13" i="12"/>
  <c r="D104" i="8"/>
  <c r="E104" i="8"/>
  <c r="E78" i="8"/>
  <c r="E84" i="8" s="1"/>
  <c r="E102" i="8"/>
  <c r="D102" i="8"/>
  <c r="D103" i="8"/>
  <c r="E103" i="8"/>
  <c r="O78" i="8"/>
  <c r="P78" i="8"/>
  <c r="U78" i="8"/>
  <c r="Q78" i="8"/>
  <c r="G78" i="8"/>
  <c r="T78" i="8"/>
  <c r="V78" i="8"/>
  <c r="S78" i="8"/>
  <c r="F78" i="8"/>
  <c r="D78" i="8"/>
  <c r="D84" i="8" s="1"/>
  <c r="N78" i="8"/>
  <c r="Y35" i="10"/>
  <c r="X35" i="10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W35" i="10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V35" i="10"/>
  <c r="Y20" i="10"/>
  <c r="X20" i="10"/>
  <c r="W20" i="10"/>
  <c r="V20" i="10"/>
  <c r="Y12" i="10"/>
  <c r="Y13" i="10" s="1"/>
  <c r="Y14" i="10" s="1"/>
  <c r="Y15" i="10" s="1"/>
  <c r="Y16" i="10" s="1"/>
  <c r="Y17" i="10" s="1"/>
  <c r="Y18" i="10" s="1"/>
  <c r="Y19" i="10" s="1"/>
  <c r="X12" i="10"/>
  <c r="W12" i="10"/>
  <c r="W13" i="10" s="1"/>
  <c r="W14" i="10" s="1"/>
  <c r="W15" i="10" s="1"/>
  <c r="W16" i="10" s="1"/>
  <c r="W17" i="10" s="1"/>
  <c r="W18" i="10" s="1"/>
  <c r="W19" i="10" s="1"/>
  <c r="V12" i="10"/>
  <c r="Y6" i="10"/>
  <c r="X6" i="10"/>
  <c r="W6" i="10"/>
  <c r="V6" i="10"/>
  <c r="V7" i="10" s="1"/>
  <c r="V8" i="10" s="1"/>
  <c r="V9" i="10" s="1"/>
  <c r="V10" i="10" s="1"/>
  <c r="V11" i="10" s="1"/>
  <c r="AC2" i="10"/>
  <c r="AC6" i="10" s="1"/>
  <c r="B13" i="10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10" i="10"/>
  <c r="B11" i="10" s="1"/>
  <c r="B7" i="10"/>
  <c r="B8" i="10" s="1"/>
  <c r="L14" i="12" l="1"/>
  <c r="N14" i="12"/>
  <c r="M14" i="12"/>
  <c r="K15" i="12"/>
  <c r="W7" i="10"/>
  <c r="W8" i="10" s="1"/>
  <c r="W9" i="10" s="1"/>
  <c r="W10" i="10" s="1"/>
  <c r="W11" i="10" s="1"/>
  <c r="V21" i="10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13" i="10"/>
  <c r="V14" i="10" s="1"/>
  <c r="V15" i="10" s="1"/>
  <c r="V16" i="10" s="1"/>
  <c r="V17" i="10" s="1"/>
  <c r="V18" i="10" s="1"/>
  <c r="V19" i="10" s="1"/>
  <c r="AG6" i="10"/>
  <c r="AF6" i="10"/>
  <c r="X7" i="10"/>
  <c r="X8" i="10" s="1"/>
  <c r="X9" i="10" s="1"/>
  <c r="X10" i="10" s="1"/>
  <c r="X11" i="10" s="1"/>
  <c r="Y21" i="10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AD6" i="10"/>
  <c r="X13" i="10"/>
  <c r="X14" i="10" s="1"/>
  <c r="X15" i="10" s="1"/>
  <c r="X16" i="10" s="1"/>
  <c r="X17" i="10" s="1"/>
  <c r="X18" i="10" s="1"/>
  <c r="X19" i="10" s="1"/>
  <c r="Y7" i="10"/>
  <c r="Y8" i="10" s="1"/>
  <c r="Y9" i="10" s="1"/>
  <c r="Y10" i="10" s="1"/>
  <c r="Y11" i="10" s="1"/>
  <c r="AE6" i="10"/>
  <c r="N15" i="12" l="1"/>
  <c r="M15" i="12"/>
  <c r="L15" i="12"/>
  <c r="K16" i="12"/>
  <c r="F83" i="9"/>
  <c r="V83" i="9"/>
  <c r="U83" i="9"/>
  <c r="T83" i="9"/>
  <c r="S83" i="9"/>
  <c r="Q83" i="9"/>
  <c r="P83" i="9"/>
  <c r="O83" i="9"/>
  <c r="N83" i="9"/>
  <c r="L83" i="9"/>
  <c r="K83" i="9"/>
  <c r="J83" i="9"/>
  <c r="I83" i="9"/>
  <c r="G83" i="9"/>
  <c r="E83" i="9"/>
  <c r="D83" i="9"/>
  <c r="V83" i="8"/>
  <c r="Y35" i="11" s="1"/>
  <c r="U83" i="8"/>
  <c r="Y20" i="11" s="1"/>
  <c r="T83" i="8"/>
  <c r="Y12" i="11" s="1"/>
  <c r="S83" i="8"/>
  <c r="Y6" i="11" s="1"/>
  <c r="Q83" i="8"/>
  <c r="W35" i="11" s="1"/>
  <c r="P83" i="8"/>
  <c r="W20" i="11" s="1"/>
  <c r="O83" i="8"/>
  <c r="W12" i="11" s="1"/>
  <c r="N83" i="8"/>
  <c r="W6" i="11" s="1"/>
  <c r="W7" i="11" s="1"/>
  <c r="W8" i="11" s="1"/>
  <c r="W9" i="11" s="1"/>
  <c r="W10" i="11" s="1"/>
  <c r="W11" i="11" s="1"/>
  <c r="L83" i="8"/>
  <c r="X35" i="11" s="1"/>
  <c r="K83" i="8"/>
  <c r="X20" i="11" s="1"/>
  <c r="J83" i="8"/>
  <c r="X12" i="11" s="1"/>
  <c r="I83" i="8"/>
  <c r="X6" i="11" s="1"/>
  <c r="G83" i="8"/>
  <c r="V35" i="11" s="1"/>
  <c r="F83" i="8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E83" i="8"/>
  <c r="V12" i="11" s="1"/>
  <c r="D83" i="8"/>
  <c r="V83" i="7"/>
  <c r="U83" i="7"/>
  <c r="T83" i="7"/>
  <c r="S83" i="7"/>
  <c r="Q83" i="7"/>
  <c r="P83" i="7"/>
  <c r="O83" i="7"/>
  <c r="N83" i="7"/>
  <c r="L83" i="7"/>
  <c r="K83" i="7"/>
  <c r="J83" i="7"/>
  <c r="I83" i="7"/>
  <c r="G83" i="7"/>
  <c r="F83" i="7"/>
  <c r="E83" i="7"/>
  <c r="D83" i="7"/>
  <c r="V83" i="1"/>
  <c r="Y35" i="4" s="1"/>
  <c r="U83" i="1"/>
  <c r="Y20" i="4" s="1"/>
  <c r="T83" i="1"/>
  <c r="Y12" i="4" s="1"/>
  <c r="S83" i="1"/>
  <c r="Y6" i="4" s="1"/>
  <c r="Q83" i="1"/>
  <c r="W35" i="4" s="1"/>
  <c r="P83" i="1"/>
  <c r="W20" i="4" s="1"/>
  <c r="O83" i="1"/>
  <c r="W12" i="4" s="1"/>
  <c r="N83" i="1"/>
  <c r="W6" i="4" s="1"/>
  <c r="L83" i="1"/>
  <c r="X35" i="4" s="1"/>
  <c r="K83" i="1"/>
  <c r="X20" i="4" s="1"/>
  <c r="J83" i="1"/>
  <c r="X12" i="4" s="1"/>
  <c r="I83" i="1"/>
  <c r="X6" i="4" s="1"/>
  <c r="G83" i="1"/>
  <c r="V35" i="4" s="1"/>
  <c r="F83" i="1"/>
  <c r="V20" i="4" s="1"/>
  <c r="E83" i="1"/>
  <c r="V12" i="4" s="1"/>
  <c r="D83" i="1"/>
  <c r="M16" i="12" l="1"/>
  <c r="N16" i="12"/>
  <c r="K17" i="12"/>
  <c r="L16" i="12"/>
  <c r="W21" i="1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X21" i="1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Y21" i="1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X7" i="11"/>
  <c r="X8" i="11" s="1"/>
  <c r="X9" i="11" s="1"/>
  <c r="X10" i="11" s="1"/>
  <c r="X11" i="11" s="1"/>
  <c r="Y7" i="11"/>
  <c r="Y8" i="11" s="1"/>
  <c r="Y9" i="11" s="1"/>
  <c r="Y10" i="11" s="1"/>
  <c r="Y11" i="11" s="1"/>
  <c r="Y13" i="11"/>
  <c r="Y14" i="11" s="1"/>
  <c r="Y15" i="11" s="1"/>
  <c r="Y16" i="11" s="1"/>
  <c r="Y17" i="11" s="1"/>
  <c r="Y18" i="11" s="1"/>
  <c r="Y19" i="11" s="1"/>
  <c r="W13" i="11"/>
  <c r="W14" i="11" s="1"/>
  <c r="W15" i="11" s="1"/>
  <c r="W16" i="11" s="1"/>
  <c r="W17" i="11" s="1"/>
  <c r="W18" i="11" s="1"/>
  <c r="W19" i="11" s="1"/>
  <c r="X13" i="11"/>
  <c r="X14" i="11" s="1"/>
  <c r="X15" i="11" s="1"/>
  <c r="X16" i="11" s="1"/>
  <c r="X17" i="11" s="1"/>
  <c r="X18" i="11" s="1"/>
  <c r="X19" i="11" s="1"/>
  <c r="V13" i="11"/>
  <c r="V14" i="11" s="1"/>
  <c r="V15" i="11" s="1"/>
  <c r="V16" i="11" s="1"/>
  <c r="V17" i="11" s="1"/>
  <c r="V18" i="11" s="1"/>
  <c r="V19" i="11" s="1"/>
  <c r="V6" i="11"/>
  <c r="AC2" i="11"/>
  <c r="AC6" i="11" s="1"/>
  <c r="AC2" i="4"/>
  <c r="AC6" i="4" s="1"/>
  <c r="V6" i="4"/>
  <c r="AG6" i="4" l="1"/>
  <c r="C75" i="4"/>
  <c r="N17" i="12"/>
  <c r="M17" i="12"/>
  <c r="K18" i="12"/>
  <c r="L17" i="12"/>
  <c r="AD6" i="4"/>
  <c r="AG6" i="11"/>
  <c r="AE6" i="11"/>
  <c r="AF6" i="11"/>
  <c r="AD6" i="11"/>
  <c r="V7" i="11"/>
  <c r="AE6" i="4"/>
  <c r="AF6" i="4"/>
  <c r="N18" i="12" l="1"/>
  <c r="L18" i="12"/>
  <c r="M18" i="12"/>
  <c r="K19" i="12"/>
  <c r="V8" i="11"/>
  <c r="V9" i="11" s="1"/>
  <c r="V10" i="11" s="1"/>
  <c r="V11" i="11" s="1"/>
  <c r="V72" i="9"/>
  <c r="U72" i="9"/>
  <c r="T72" i="9"/>
  <c r="S72" i="9"/>
  <c r="Q72" i="9"/>
  <c r="P72" i="9"/>
  <c r="O72" i="9"/>
  <c r="N72" i="9"/>
  <c r="L72" i="9"/>
  <c r="K72" i="9"/>
  <c r="J72" i="9"/>
  <c r="I72" i="9"/>
  <c r="G72" i="9"/>
  <c r="F72" i="9"/>
  <c r="E72" i="9"/>
  <c r="D72" i="9"/>
  <c r="V71" i="9"/>
  <c r="U71" i="9"/>
  <c r="T71" i="9"/>
  <c r="S71" i="9"/>
  <c r="Q71" i="9"/>
  <c r="P71" i="9"/>
  <c r="O71" i="9"/>
  <c r="N71" i="9"/>
  <c r="L71" i="9"/>
  <c r="K71" i="9"/>
  <c r="J71" i="9"/>
  <c r="I71" i="9"/>
  <c r="G71" i="9"/>
  <c r="F71" i="9"/>
  <c r="E71" i="9"/>
  <c r="D71" i="9"/>
  <c r="V70" i="9"/>
  <c r="U70" i="9"/>
  <c r="T70" i="9"/>
  <c r="S70" i="9"/>
  <c r="Q70" i="9"/>
  <c r="P70" i="9"/>
  <c r="O70" i="9"/>
  <c r="N70" i="9"/>
  <c r="L70" i="9"/>
  <c r="K70" i="9"/>
  <c r="J70" i="9"/>
  <c r="I70" i="9"/>
  <c r="G70" i="9"/>
  <c r="F70" i="9"/>
  <c r="E70" i="9"/>
  <c r="D70" i="9"/>
  <c r="V72" i="8"/>
  <c r="U72" i="8"/>
  <c r="T72" i="8"/>
  <c r="S72" i="8"/>
  <c r="Q72" i="8"/>
  <c r="P72" i="8"/>
  <c r="O72" i="8"/>
  <c r="N72" i="8"/>
  <c r="L72" i="8"/>
  <c r="K72" i="8"/>
  <c r="J72" i="8"/>
  <c r="I72" i="8"/>
  <c r="G72" i="8"/>
  <c r="F72" i="8"/>
  <c r="E72" i="8"/>
  <c r="D72" i="8"/>
  <c r="V71" i="8"/>
  <c r="U71" i="8"/>
  <c r="T71" i="8"/>
  <c r="S71" i="8"/>
  <c r="Q71" i="8"/>
  <c r="P71" i="8"/>
  <c r="O71" i="8"/>
  <c r="N71" i="8"/>
  <c r="L71" i="8"/>
  <c r="K71" i="8"/>
  <c r="J71" i="8"/>
  <c r="I71" i="8"/>
  <c r="G71" i="8"/>
  <c r="F71" i="8"/>
  <c r="E71" i="8"/>
  <c r="D71" i="8"/>
  <c r="V70" i="8"/>
  <c r="U70" i="8"/>
  <c r="T70" i="8"/>
  <c r="S70" i="8"/>
  <c r="Q70" i="8"/>
  <c r="P70" i="8"/>
  <c r="O70" i="8"/>
  <c r="N70" i="8"/>
  <c r="L70" i="8"/>
  <c r="K70" i="8"/>
  <c r="J70" i="8"/>
  <c r="I70" i="8"/>
  <c r="G70" i="8"/>
  <c r="F70" i="8"/>
  <c r="E70" i="8"/>
  <c r="D70" i="8"/>
  <c r="V72" i="7"/>
  <c r="U72" i="7"/>
  <c r="T72" i="7"/>
  <c r="S72" i="7"/>
  <c r="Q72" i="7"/>
  <c r="P72" i="7"/>
  <c r="O72" i="7"/>
  <c r="N72" i="7"/>
  <c r="G72" i="7"/>
  <c r="F72" i="7"/>
  <c r="E72" i="7"/>
  <c r="D72" i="7"/>
  <c r="V71" i="7"/>
  <c r="U71" i="7"/>
  <c r="T71" i="7"/>
  <c r="S71" i="7"/>
  <c r="Q71" i="7"/>
  <c r="P71" i="7"/>
  <c r="O71" i="7"/>
  <c r="N71" i="7"/>
  <c r="G71" i="7"/>
  <c r="F71" i="7"/>
  <c r="E71" i="7"/>
  <c r="D71" i="7"/>
  <c r="V70" i="7"/>
  <c r="U70" i="7"/>
  <c r="T70" i="7"/>
  <c r="S70" i="7"/>
  <c r="Q70" i="7"/>
  <c r="P70" i="7"/>
  <c r="O70" i="7"/>
  <c r="N70" i="7"/>
  <c r="G70" i="7"/>
  <c r="F70" i="7"/>
  <c r="E70" i="7"/>
  <c r="D70" i="7"/>
  <c r="V67" i="7"/>
  <c r="V73" i="7" s="1"/>
  <c r="U67" i="7"/>
  <c r="U73" i="7" s="1"/>
  <c r="T67" i="7"/>
  <c r="T73" i="7" s="1"/>
  <c r="S67" i="7"/>
  <c r="S73" i="7" s="1"/>
  <c r="Q67" i="7"/>
  <c r="Q73" i="7" s="1"/>
  <c r="P67" i="7"/>
  <c r="P73" i="7" s="1"/>
  <c r="O67" i="7"/>
  <c r="O73" i="7" s="1"/>
  <c r="N67" i="7"/>
  <c r="N73" i="7" s="1"/>
  <c r="L67" i="7"/>
  <c r="Q35" i="10" s="1"/>
  <c r="K67" i="7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J67" i="7"/>
  <c r="Q12" i="10" s="1"/>
  <c r="Q13" i="10" s="1"/>
  <c r="Q14" i="10" s="1"/>
  <c r="Q15" i="10" s="1"/>
  <c r="Q16" i="10" s="1"/>
  <c r="Q17" i="10" s="1"/>
  <c r="Q18" i="10" s="1"/>
  <c r="Q19" i="10" s="1"/>
  <c r="I67" i="7"/>
  <c r="Q6" i="10" s="1"/>
  <c r="Q7" i="10" s="1"/>
  <c r="Q8" i="10" s="1"/>
  <c r="Q9" i="10" s="1"/>
  <c r="Q10" i="10" s="1"/>
  <c r="Q11" i="10" s="1"/>
  <c r="G67" i="7"/>
  <c r="G73" i="7" s="1"/>
  <c r="F67" i="7"/>
  <c r="F73" i="7" s="1"/>
  <c r="E67" i="7"/>
  <c r="E73" i="7" s="1"/>
  <c r="D67" i="7"/>
  <c r="D73" i="7" s="1"/>
  <c r="V72" i="1"/>
  <c r="U72" i="1"/>
  <c r="T72" i="1"/>
  <c r="S72" i="1"/>
  <c r="Q72" i="1"/>
  <c r="P72" i="1"/>
  <c r="O72" i="1"/>
  <c r="N72" i="1"/>
  <c r="G72" i="1"/>
  <c r="F72" i="1"/>
  <c r="E72" i="1"/>
  <c r="D72" i="1"/>
  <c r="V71" i="1"/>
  <c r="U71" i="1"/>
  <c r="T71" i="1"/>
  <c r="S71" i="1"/>
  <c r="Q71" i="1"/>
  <c r="P71" i="1"/>
  <c r="O71" i="1"/>
  <c r="N71" i="1"/>
  <c r="G71" i="1"/>
  <c r="F71" i="1"/>
  <c r="E71" i="1"/>
  <c r="D71" i="1"/>
  <c r="V70" i="1"/>
  <c r="U70" i="1"/>
  <c r="T70" i="1"/>
  <c r="S70" i="1"/>
  <c r="Q70" i="1"/>
  <c r="P70" i="1"/>
  <c r="O70" i="1"/>
  <c r="N70" i="1"/>
  <c r="G70" i="1"/>
  <c r="F70" i="1"/>
  <c r="E70" i="1"/>
  <c r="D70" i="1"/>
  <c r="V67" i="1"/>
  <c r="V73" i="1" s="1"/>
  <c r="U67" i="1"/>
  <c r="U73" i="1" s="1"/>
  <c r="T67" i="1"/>
  <c r="T73" i="1" s="1"/>
  <c r="S67" i="1"/>
  <c r="S73" i="1" s="1"/>
  <c r="Q67" i="1"/>
  <c r="Q73" i="1" s="1"/>
  <c r="P67" i="1"/>
  <c r="P73" i="1" s="1"/>
  <c r="O67" i="1"/>
  <c r="O73" i="1" s="1"/>
  <c r="N67" i="1"/>
  <c r="N73" i="1" s="1"/>
  <c r="G67" i="1"/>
  <c r="G73" i="1" s="1"/>
  <c r="F67" i="1"/>
  <c r="F73" i="1" s="1"/>
  <c r="E67" i="1"/>
  <c r="E73" i="1" s="1"/>
  <c r="D67" i="1"/>
  <c r="D73" i="1" s="1"/>
  <c r="N19" i="12" l="1"/>
  <c r="L19" i="12"/>
  <c r="M19" i="12"/>
  <c r="K20" i="12"/>
  <c r="B13" i="6"/>
  <c r="B15" i="6"/>
  <c r="B21" i="6"/>
  <c r="B23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10" i="6"/>
  <c r="A9" i="6"/>
  <c r="B3" i="6"/>
  <c r="B14" i="6" s="1"/>
  <c r="M20" i="12" l="1"/>
  <c r="N20" i="12"/>
  <c r="AC12" i="12"/>
  <c r="L20" i="12"/>
  <c r="K21" i="12"/>
  <c r="B20" i="6"/>
  <c r="B12" i="6"/>
  <c r="B19" i="6"/>
  <c r="B11" i="6"/>
  <c r="B18" i="6"/>
  <c r="B17" i="6"/>
  <c r="B10" i="6"/>
  <c r="B25" i="6"/>
  <c r="B24" i="6"/>
  <c r="B16" i="6"/>
  <c r="B22" i="6"/>
  <c r="M21" i="12" l="1"/>
  <c r="K22" i="12"/>
  <c r="N21" i="12"/>
  <c r="L21" i="12"/>
  <c r="AF12" i="12"/>
  <c r="AC9" i="12"/>
  <c r="AD12" i="12"/>
  <c r="AG12" i="12"/>
  <c r="AE12" i="12"/>
  <c r="AC8" i="12"/>
  <c r="AC7" i="12"/>
  <c r="AC11" i="12"/>
  <c r="AC10" i="12"/>
  <c r="Y13" i="4"/>
  <c r="Y14" i="4" s="1"/>
  <c r="Y15" i="4" s="1"/>
  <c r="Y16" i="4" s="1"/>
  <c r="Y17" i="4" s="1"/>
  <c r="Y18" i="4" s="1"/>
  <c r="Y19" i="4" s="1"/>
  <c r="Y21" i="4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7" i="4"/>
  <c r="Y8" i="4" s="1"/>
  <c r="Y9" i="4" s="1"/>
  <c r="Y10" i="4" s="1"/>
  <c r="Y11" i="4" s="1"/>
  <c r="AG11" i="12" l="1"/>
  <c r="AM11" i="12" s="1"/>
  <c r="AG10" i="12"/>
  <c r="AM10" i="12" s="1"/>
  <c r="AM12" i="12"/>
  <c r="AG9" i="12"/>
  <c r="AM9" i="12" s="1"/>
  <c r="AG7" i="12"/>
  <c r="AM7" i="12" s="1"/>
  <c r="AG8" i="12"/>
  <c r="AM8" i="12" s="1"/>
  <c r="AD7" i="12"/>
  <c r="AJ7" i="12" s="1"/>
  <c r="AD11" i="12"/>
  <c r="AJ11" i="12" s="1"/>
  <c r="AJ12" i="12"/>
  <c r="AD8" i="12"/>
  <c r="AJ8" i="12" s="1"/>
  <c r="AD9" i="12"/>
  <c r="AJ9" i="12" s="1"/>
  <c r="AD10" i="12"/>
  <c r="AJ10" i="12" s="1"/>
  <c r="L22" i="12"/>
  <c r="M22" i="12"/>
  <c r="N22" i="12"/>
  <c r="K23" i="12"/>
  <c r="AF7" i="12"/>
  <c r="AL7" i="12" s="1"/>
  <c r="AF8" i="12"/>
  <c r="AL8" i="12" s="1"/>
  <c r="AL12" i="12"/>
  <c r="AF10" i="12"/>
  <c r="AL10" i="12" s="1"/>
  <c r="AF11" i="12"/>
  <c r="AL11" i="12" s="1"/>
  <c r="AF9" i="12"/>
  <c r="AL9" i="12" s="1"/>
  <c r="AE8" i="12"/>
  <c r="AK8" i="12" s="1"/>
  <c r="AK12" i="12"/>
  <c r="AE11" i="12"/>
  <c r="AK11" i="12" s="1"/>
  <c r="AE10" i="12"/>
  <c r="AK10" i="12" s="1"/>
  <c r="AE7" i="12"/>
  <c r="AK7" i="12" s="1"/>
  <c r="AE9" i="12"/>
  <c r="AK9" i="12" s="1"/>
  <c r="H55" i="5"/>
  <c r="H56" i="5"/>
  <c r="H57" i="5"/>
  <c r="H58" i="5"/>
  <c r="H59" i="5"/>
  <c r="H60" i="5"/>
  <c r="H61" i="5"/>
  <c r="H62" i="5"/>
  <c r="H63" i="5"/>
  <c r="H64" i="5"/>
  <c r="H65" i="5"/>
  <c r="F57" i="5"/>
  <c r="F58" i="5"/>
  <c r="F59" i="5"/>
  <c r="F60" i="5"/>
  <c r="F61" i="5"/>
  <c r="F62" i="5"/>
  <c r="F63" i="5"/>
  <c r="F53" i="5"/>
  <c r="K24" i="12" l="1"/>
  <c r="L23" i="12"/>
  <c r="N23" i="12"/>
  <c r="M23" i="12"/>
  <c r="C64" i="5"/>
  <c r="F64" i="5" s="1"/>
  <c r="C54" i="5"/>
  <c r="F54" i="5" s="1"/>
  <c r="V15" i="5"/>
  <c r="Y15" i="5" s="1"/>
  <c r="AB15" i="5" s="1"/>
  <c r="AE15" i="5" s="1"/>
  <c r="V17" i="5"/>
  <c r="Y17" i="5" s="1"/>
  <c r="AB17" i="5" s="1"/>
  <c r="AE17" i="5" s="1"/>
  <c r="V16" i="5"/>
  <c r="Y16" i="5" s="1"/>
  <c r="AB16" i="5" s="1"/>
  <c r="AE16" i="5" s="1"/>
  <c r="K5" i="5"/>
  <c r="O3" i="5"/>
  <c r="O5" i="5" s="1" a="1"/>
  <c r="O5" i="5" s="1"/>
  <c r="J5" i="5" s="1"/>
  <c r="V7" i="5"/>
  <c r="Y7" i="5" s="1"/>
  <c r="AB7" i="5" s="1"/>
  <c r="AE7" i="5" s="1"/>
  <c r="V8" i="5"/>
  <c r="Y8" i="5" s="1"/>
  <c r="AB8" i="5" s="1"/>
  <c r="AE8" i="5" s="1"/>
  <c r="V9" i="5"/>
  <c r="Y9" i="5" s="1"/>
  <c r="AB9" i="5" s="1"/>
  <c r="AE9" i="5" s="1"/>
  <c r="V10" i="5"/>
  <c r="Y10" i="5" s="1"/>
  <c r="AB10" i="5" s="1"/>
  <c r="AE10" i="5" s="1"/>
  <c r="V11" i="5"/>
  <c r="Y11" i="5" s="1"/>
  <c r="AB11" i="5" s="1"/>
  <c r="AE11" i="5" s="1"/>
  <c r="V12" i="5"/>
  <c r="Y12" i="5" s="1"/>
  <c r="AB12" i="5" s="1"/>
  <c r="AE12" i="5" s="1"/>
  <c r="V13" i="5"/>
  <c r="Y13" i="5" s="1"/>
  <c r="AB13" i="5" s="1"/>
  <c r="AE13" i="5" s="1"/>
  <c r="V14" i="5"/>
  <c r="Y14" i="5" s="1"/>
  <c r="AB14" i="5" s="1"/>
  <c r="AE14" i="5" s="1"/>
  <c r="V6" i="5"/>
  <c r="Y6" i="5" s="1"/>
  <c r="AB6" i="5" s="1"/>
  <c r="AE6" i="5" s="1"/>
  <c r="K25" i="12" l="1"/>
  <c r="N24" i="12"/>
  <c r="M24" i="12"/>
  <c r="L24" i="12"/>
  <c r="C55" i="5"/>
  <c r="C65" i="5"/>
  <c r="F65" i="5" s="1"/>
  <c r="G5" i="5"/>
  <c r="H5" i="5"/>
  <c r="I5" i="5"/>
  <c r="L5" i="5" a="1"/>
  <c r="L5" i="5" s="1"/>
  <c r="M5" i="5" a="1"/>
  <c r="M5" i="5" s="1"/>
  <c r="N5" i="5" a="1"/>
  <c r="N5" i="5" s="1"/>
  <c r="L25" i="12" l="1"/>
  <c r="N25" i="12"/>
  <c r="K26" i="12"/>
  <c r="M25" i="12"/>
  <c r="F55" i="5"/>
  <c r="C56" i="5"/>
  <c r="F56" i="5" s="1"/>
  <c r="F5" i="5"/>
  <c r="F6" i="5" s="1"/>
  <c r="E5" i="5"/>
  <c r="E6" i="5" s="1"/>
  <c r="C5" i="5"/>
  <c r="C6" i="5" s="1"/>
  <c r="D5" i="5"/>
  <c r="D6" i="5" s="1"/>
  <c r="V13" i="4"/>
  <c r="V14" i="4" s="1"/>
  <c r="V15" i="4" s="1"/>
  <c r="V16" i="4" s="1"/>
  <c r="V17" i="4" s="1"/>
  <c r="V18" i="4" s="1"/>
  <c r="V19" i="4" s="1"/>
  <c r="Q35" i="4"/>
  <c r="Q20" i="4"/>
  <c r="Q12" i="4"/>
  <c r="Q6" i="4"/>
  <c r="N26" i="12" l="1"/>
  <c r="L26" i="12"/>
  <c r="K27" i="12"/>
  <c r="M26" i="12"/>
  <c r="E7" i="5"/>
  <c r="D7" i="5"/>
  <c r="F7" i="5"/>
  <c r="W21" i="4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X13" i="4"/>
  <c r="X14" i="4" s="1"/>
  <c r="X15" i="4" s="1"/>
  <c r="X16" i="4" s="1"/>
  <c r="X17" i="4" s="1"/>
  <c r="X18" i="4" s="1"/>
  <c r="X19" i="4" s="1"/>
  <c r="W13" i="4"/>
  <c r="W14" i="4" s="1"/>
  <c r="W15" i="4" s="1"/>
  <c r="W16" i="4" s="1"/>
  <c r="W17" i="4" s="1"/>
  <c r="W18" i="4" s="1"/>
  <c r="W19" i="4" s="1"/>
  <c r="Q7" i="4"/>
  <c r="Q8" i="4" s="1"/>
  <c r="Q9" i="4" s="1"/>
  <c r="Q10" i="4" s="1"/>
  <c r="Q11" i="4" s="1"/>
  <c r="Q13" i="4"/>
  <c r="Q14" i="4" s="1"/>
  <c r="Q15" i="4" s="1"/>
  <c r="Q16" i="4" s="1"/>
  <c r="Q17" i="4" s="1"/>
  <c r="Q18" i="4" s="1"/>
  <c r="Q19" i="4" s="1"/>
  <c r="Q21" i="4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V21" i="4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W7" i="4"/>
  <c r="W8" i="4" s="1"/>
  <c r="W9" i="4" s="1"/>
  <c r="W10" i="4" s="1"/>
  <c r="W11" i="4" s="1"/>
  <c r="X21" i="4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7" i="4"/>
  <c r="X8" i="4" s="1"/>
  <c r="X9" i="4" s="1"/>
  <c r="X10" i="4" s="1"/>
  <c r="X11" i="4" s="1"/>
  <c r="V7" i="4"/>
  <c r="V8" i="4" s="1"/>
  <c r="V9" i="4" s="1"/>
  <c r="V10" i="4" s="1"/>
  <c r="V11" i="4" s="1"/>
  <c r="N27" i="12" l="1"/>
  <c r="L27" i="12"/>
  <c r="K28" i="12"/>
  <c r="M27" i="12"/>
  <c r="B13" i="4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10" i="4"/>
  <c r="B11" i="4" s="1"/>
  <c r="B7" i="4"/>
  <c r="B8" i="4" s="1"/>
  <c r="M28" i="12" l="1"/>
  <c r="K29" i="12"/>
  <c r="AC35" i="12"/>
  <c r="L28" i="12"/>
  <c r="AC20" i="12"/>
  <c r="AC21" i="12" s="1"/>
  <c r="AC22" i="12" s="1"/>
  <c r="AC23" i="12" s="1"/>
  <c r="AC24" i="12" s="1"/>
  <c r="AC25" i="12" s="1"/>
  <c r="AC26" i="12" s="1"/>
  <c r="AC27" i="12" s="1"/>
  <c r="AC28" i="12" s="1"/>
  <c r="AC29" i="12" s="1"/>
  <c r="AC30" i="12" s="1"/>
  <c r="AC31" i="12" s="1"/>
  <c r="AC32" i="12" s="1"/>
  <c r="AC33" i="12" s="1"/>
  <c r="AC34" i="12" s="1"/>
  <c r="N28" i="12"/>
  <c r="D21" i="3"/>
  <c r="D17" i="3"/>
  <c r="AF35" i="12" l="1"/>
  <c r="AG35" i="12"/>
  <c r="AE35" i="12"/>
  <c r="AD35" i="12"/>
  <c r="AC19" i="12"/>
  <c r="AE20" i="12"/>
  <c r="AC17" i="12"/>
  <c r="AC18" i="12"/>
  <c r="AC15" i="12"/>
  <c r="AG20" i="12"/>
  <c r="AD20" i="12"/>
  <c r="AC13" i="12"/>
  <c r="AF20" i="12"/>
  <c r="AC16" i="12"/>
  <c r="AC14" i="12"/>
  <c r="M29" i="12"/>
  <c r="N29" i="12"/>
  <c r="K30" i="12"/>
  <c r="L29" i="12"/>
  <c r="D75" i="7"/>
  <c r="D76" i="7" s="1"/>
  <c r="G75" i="7"/>
  <c r="E75" i="7"/>
  <c r="E76" i="7" s="1"/>
  <c r="F75" i="7"/>
  <c r="D18" i="3"/>
  <c r="E37" i="4"/>
  <c r="D75" i="1"/>
  <c r="D76" i="1" s="1"/>
  <c r="E75" i="1"/>
  <c r="E76" i="1" s="1"/>
  <c r="F75" i="1"/>
  <c r="G75" i="1"/>
  <c r="D23" i="3"/>
  <c r="AD18" i="12" l="1"/>
  <c r="AJ18" i="12" s="1"/>
  <c r="AJ20" i="12"/>
  <c r="AD14" i="12"/>
  <c r="AJ14" i="12" s="1"/>
  <c r="AD17" i="12"/>
  <c r="AJ17" i="12" s="1"/>
  <c r="AD16" i="12"/>
  <c r="AJ16" i="12" s="1"/>
  <c r="AD15" i="12"/>
  <c r="AJ15" i="12" s="1"/>
  <c r="AD19" i="12"/>
  <c r="AJ19" i="12" s="1"/>
  <c r="AD13" i="12"/>
  <c r="AJ13" i="12" s="1"/>
  <c r="L30" i="12"/>
  <c r="M30" i="12"/>
  <c r="N30" i="12"/>
  <c r="K31" i="12"/>
  <c r="AE15" i="12"/>
  <c r="AK15" i="12" s="1"/>
  <c r="AE14" i="12"/>
  <c r="AK14" i="12" s="1"/>
  <c r="AK20" i="12"/>
  <c r="AE19" i="12"/>
  <c r="AK19" i="12" s="1"/>
  <c r="AE18" i="12"/>
  <c r="AK18" i="12" s="1"/>
  <c r="AE17" i="12"/>
  <c r="AK17" i="12" s="1"/>
  <c r="AE13" i="12"/>
  <c r="AK13" i="12" s="1"/>
  <c r="AE16" i="12"/>
  <c r="AK16" i="12" s="1"/>
  <c r="AG15" i="12"/>
  <c r="AM15" i="12" s="1"/>
  <c r="AG17" i="12"/>
  <c r="AM17" i="12" s="1"/>
  <c r="AG16" i="12"/>
  <c r="AM16" i="12" s="1"/>
  <c r="AG14" i="12"/>
  <c r="AM14" i="12" s="1"/>
  <c r="AG19" i="12"/>
  <c r="AM19" i="12" s="1"/>
  <c r="AM20" i="12"/>
  <c r="AG13" i="12"/>
  <c r="AM13" i="12" s="1"/>
  <c r="AG18" i="12"/>
  <c r="AM18" i="12" s="1"/>
  <c r="AF15" i="12"/>
  <c r="AL15" i="12" s="1"/>
  <c r="AL20" i="12"/>
  <c r="AF14" i="12"/>
  <c r="AL14" i="12" s="1"/>
  <c r="AF19" i="12"/>
  <c r="AL19" i="12" s="1"/>
  <c r="AF13" i="12"/>
  <c r="AL13" i="12" s="1"/>
  <c r="AF18" i="12"/>
  <c r="AL18" i="12" s="1"/>
  <c r="AF17" i="12"/>
  <c r="AL17" i="12" s="1"/>
  <c r="AF16" i="12"/>
  <c r="AL16" i="12" s="1"/>
  <c r="E37" i="10"/>
  <c r="E37" i="11"/>
  <c r="D3" i="11"/>
  <c r="C3" i="11"/>
  <c r="F3" i="11"/>
  <c r="C3" i="10"/>
  <c r="F3" i="10"/>
  <c r="D3" i="10"/>
  <c r="D3" i="4"/>
  <c r="F3" i="4"/>
  <c r="C3" i="4"/>
  <c r="E31" i="4"/>
  <c r="E23" i="4"/>
  <c r="E28" i="4"/>
  <c r="E34" i="4"/>
  <c r="E33" i="4"/>
  <c r="E25" i="4"/>
  <c r="E30" i="4"/>
  <c r="E22" i="4"/>
  <c r="E27" i="4"/>
  <c r="E21" i="4"/>
  <c r="E32" i="4"/>
  <c r="E24" i="4"/>
  <c r="E29" i="4"/>
  <c r="E26" i="4"/>
  <c r="E14" i="4"/>
  <c r="E19" i="4"/>
  <c r="E16" i="4"/>
  <c r="E17" i="4"/>
  <c r="E13" i="4"/>
  <c r="E18" i="4"/>
  <c r="E15" i="4"/>
  <c r="E11" i="4"/>
  <c r="E10" i="4"/>
  <c r="E9" i="4"/>
  <c r="E8" i="4"/>
  <c r="E7" i="4"/>
  <c r="C35" i="4" l="1"/>
  <c r="C12" i="4"/>
  <c r="C6" i="4"/>
  <c r="C20" i="4"/>
  <c r="F20" i="4"/>
  <c r="F6" i="4"/>
  <c r="F12" i="4"/>
  <c r="F35" i="4"/>
  <c r="D6" i="4"/>
  <c r="D20" i="4"/>
  <c r="D12" i="4"/>
  <c r="D35" i="4"/>
  <c r="D37" i="4" s="1"/>
  <c r="M31" i="12"/>
  <c r="K32" i="12"/>
  <c r="L31" i="12"/>
  <c r="N31" i="12"/>
  <c r="D35" i="10"/>
  <c r="D37" i="10" s="1"/>
  <c r="D6" i="10"/>
  <c r="D20" i="10"/>
  <c r="D12" i="10"/>
  <c r="F12" i="10"/>
  <c r="F35" i="10"/>
  <c r="F6" i="10"/>
  <c r="F20" i="10"/>
  <c r="C35" i="10"/>
  <c r="C37" i="10" s="1"/>
  <c r="C12" i="10"/>
  <c r="C20" i="10"/>
  <c r="C6" i="10"/>
  <c r="F6" i="11"/>
  <c r="F35" i="11"/>
  <c r="F12" i="11"/>
  <c r="F20" i="11"/>
  <c r="C12" i="11"/>
  <c r="C35" i="11"/>
  <c r="C37" i="11" s="1"/>
  <c r="C6" i="11"/>
  <c r="K6" i="11" s="1"/>
  <c r="C20" i="11"/>
  <c r="C37" i="4"/>
  <c r="D12" i="11"/>
  <c r="D20" i="11"/>
  <c r="D6" i="11"/>
  <c r="D35" i="11"/>
  <c r="D37" i="11" s="1"/>
  <c r="L32" i="12" l="1"/>
  <c r="N32" i="12"/>
  <c r="M32" i="12"/>
  <c r="K33" i="12"/>
  <c r="F28" i="10"/>
  <c r="F24" i="10"/>
  <c r="F29" i="10"/>
  <c r="F33" i="10"/>
  <c r="F21" i="10"/>
  <c r="F25" i="10"/>
  <c r="F30" i="10"/>
  <c r="F31" i="10"/>
  <c r="F34" i="10"/>
  <c r="F27" i="10"/>
  <c r="F22" i="10"/>
  <c r="F26" i="10"/>
  <c r="F23" i="10"/>
  <c r="F32" i="10"/>
  <c r="F9" i="10"/>
  <c r="F11" i="10"/>
  <c r="F10" i="10"/>
  <c r="F8" i="10"/>
  <c r="F7" i="10"/>
  <c r="D15" i="10"/>
  <c r="D16" i="10"/>
  <c r="D19" i="10"/>
  <c r="D17" i="10"/>
  <c r="D13" i="10"/>
  <c r="D18" i="10"/>
  <c r="D14" i="10"/>
  <c r="C8" i="4"/>
  <c r="C9" i="4"/>
  <c r="K6" i="4"/>
  <c r="C10" i="4"/>
  <c r="C11" i="4"/>
  <c r="C7" i="4"/>
  <c r="C14" i="4"/>
  <c r="C32" i="4"/>
  <c r="C22" i="4"/>
  <c r="C21" i="4"/>
  <c r="C28" i="4"/>
  <c r="C34" i="4"/>
  <c r="C24" i="4"/>
  <c r="C23" i="4"/>
  <c r="C31" i="4"/>
  <c r="C30" i="4"/>
  <c r="C27" i="4"/>
  <c r="C26" i="4"/>
  <c r="C33" i="4"/>
  <c r="C29" i="4"/>
  <c r="C25" i="4"/>
  <c r="F32" i="11"/>
  <c r="F26" i="11"/>
  <c r="F34" i="11"/>
  <c r="F27" i="11"/>
  <c r="F30" i="11"/>
  <c r="F22" i="11"/>
  <c r="F31" i="11"/>
  <c r="F25" i="11"/>
  <c r="F21" i="11"/>
  <c r="F33" i="11"/>
  <c r="F29" i="11"/>
  <c r="F28" i="11"/>
  <c r="F24" i="11"/>
  <c r="D30" i="10"/>
  <c r="D22" i="10"/>
  <c r="D24" i="10"/>
  <c r="D34" i="10"/>
  <c r="D31" i="10"/>
  <c r="D26" i="10"/>
  <c r="D23" i="10"/>
  <c r="D27" i="10"/>
  <c r="D32" i="10"/>
  <c r="D28" i="10"/>
  <c r="D29" i="10"/>
  <c r="D25" i="10"/>
  <c r="D21" i="10"/>
  <c r="D33" i="10"/>
  <c r="F18" i="11"/>
  <c r="F14" i="11"/>
  <c r="F15" i="11"/>
  <c r="F13" i="11"/>
  <c r="F16" i="11"/>
  <c r="F19" i="11"/>
  <c r="F17" i="11"/>
  <c r="F14" i="10"/>
  <c r="F17" i="10"/>
  <c r="F15" i="10"/>
  <c r="F16" i="10"/>
  <c r="F19" i="10"/>
  <c r="F18" i="10"/>
  <c r="F13" i="10"/>
  <c r="D8" i="10"/>
  <c r="D9" i="10"/>
  <c r="D10" i="10"/>
  <c r="D11" i="10"/>
  <c r="D7" i="10"/>
  <c r="D21" i="4"/>
  <c r="D27" i="4"/>
  <c r="D34" i="4"/>
  <c r="D30" i="4"/>
  <c r="D31" i="4"/>
  <c r="D32" i="4"/>
  <c r="D23" i="4"/>
  <c r="D33" i="4"/>
  <c r="D26" i="4"/>
  <c r="D22" i="4"/>
  <c r="D28" i="4"/>
  <c r="D25" i="4"/>
  <c r="D29" i="4"/>
  <c r="D24" i="4"/>
  <c r="C18" i="4"/>
  <c r="C15" i="4"/>
  <c r="C16" i="4"/>
  <c r="C17" i="4"/>
  <c r="C13" i="4"/>
  <c r="C19" i="4"/>
  <c r="F23" i="11"/>
  <c r="K6" i="10"/>
  <c r="C8" i="10"/>
  <c r="C10" i="10"/>
  <c r="C9" i="10"/>
  <c r="C11" i="10"/>
  <c r="D17" i="4"/>
  <c r="D15" i="4"/>
  <c r="D13" i="4"/>
  <c r="D14" i="4"/>
  <c r="D19" i="4"/>
  <c r="D16" i="4"/>
  <c r="D18" i="4"/>
  <c r="F22" i="4"/>
  <c r="F26" i="4"/>
  <c r="F34" i="4"/>
  <c r="F27" i="4"/>
  <c r="F23" i="4"/>
  <c r="F24" i="4"/>
  <c r="F33" i="4"/>
  <c r="F32" i="4"/>
  <c r="F29" i="4"/>
  <c r="F25" i="4"/>
  <c r="F30" i="4"/>
  <c r="F28" i="4"/>
  <c r="F21" i="4"/>
  <c r="F31" i="4"/>
  <c r="D17" i="11"/>
  <c r="D15" i="11"/>
  <c r="D13" i="11"/>
  <c r="D18" i="11"/>
  <c r="D14" i="11"/>
  <c r="D19" i="11"/>
  <c r="D16" i="11"/>
  <c r="F15" i="4"/>
  <c r="F17" i="4"/>
  <c r="F18" i="4"/>
  <c r="F14" i="4"/>
  <c r="F19" i="4"/>
  <c r="F16" i="4"/>
  <c r="F13" i="4"/>
  <c r="F10" i="11"/>
  <c r="F11" i="11"/>
  <c r="F9" i="11"/>
  <c r="F7" i="11"/>
  <c r="F8" i="11"/>
  <c r="C34" i="10"/>
  <c r="C31" i="10"/>
  <c r="C26" i="10"/>
  <c r="C23" i="10"/>
  <c r="C33" i="10"/>
  <c r="C27" i="10"/>
  <c r="C32" i="10"/>
  <c r="C28" i="10"/>
  <c r="C24" i="10"/>
  <c r="C29" i="10"/>
  <c r="C21" i="10"/>
  <c r="C30" i="10"/>
  <c r="C25" i="10"/>
  <c r="C22" i="10"/>
  <c r="D9" i="4"/>
  <c r="D11" i="4"/>
  <c r="D8" i="4"/>
  <c r="D7" i="4"/>
  <c r="D10" i="4"/>
  <c r="D28" i="11"/>
  <c r="D33" i="11"/>
  <c r="D21" i="11"/>
  <c r="D32" i="11"/>
  <c r="D29" i="11"/>
  <c r="D25" i="11"/>
  <c r="D34" i="11"/>
  <c r="D30" i="11"/>
  <c r="D22" i="11"/>
  <c r="D23" i="11"/>
  <c r="D31" i="11"/>
  <c r="D26" i="11"/>
  <c r="D27" i="11"/>
  <c r="D24" i="11"/>
  <c r="D11" i="11"/>
  <c r="D9" i="11"/>
  <c r="D7" i="11"/>
  <c r="D10" i="11"/>
  <c r="D8" i="11"/>
  <c r="F8" i="4"/>
  <c r="F9" i="4"/>
  <c r="F11" i="4"/>
  <c r="F7" i="4"/>
  <c r="F10" i="4"/>
  <c r="C7" i="10"/>
  <c r="C14" i="10"/>
  <c r="C15" i="10"/>
  <c r="C18" i="10"/>
  <c r="C16" i="10"/>
  <c r="C17" i="10"/>
  <c r="C19" i="10"/>
  <c r="C13" i="10"/>
  <c r="K34" i="12" l="1"/>
  <c r="M33" i="12"/>
  <c r="N33" i="12"/>
  <c r="L33" i="12"/>
  <c r="K7" i="4"/>
  <c r="K8" i="4" s="1"/>
  <c r="L6" i="10"/>
  <c r="AK6" i="10" s="1"/>
  <c r="K7" i="10"/>
  <c r="AJ6" i="10"/>
  <c r="N6" i="10"/>
  <c r="AM6" i="10" s="1"/>
  <c r="M6" i="10"/>
  <c r="AL6" i="10" s="1"/>
  <c r="AJ6" i="4"/>
  <c r="L6" i="4"/>
  <c r="AK6" i="4" s="1"/>
  <c r="N6" i="4"/>
  <c r="AM6" i="4" s="1"/>
  <c r="M6" i="4"/>
  <c r="AL6" i="4" s="1"/>
  <c r="M6" i="11"/>
  <c r="AL6" i="11" s="1"/>
  <c r="L6" i="11"/>
  <c r="AK6" i="11" s="1"/>
  <c r="K7" i="11"/>
  <c r="N6" i="11"/>
  <c r="AM6" i="11" s="1"/>
  <c r="N7" i="4"/>
  <c r="L7" i="4"/>
  <c r="M7" i="4"/>
  <c r="N34" i="12" l="1"/>
  <c r="L34" i="12"/>
  <c r="K35" i="12"/>
  <c r="M34" i="12"/>
  <c r="K8" i="10"/>
  <c r="N7" i="10"/>
  <c r="L7" i="10"/>
  <c r="M7" i="10"/>
  <c r="K8" i="11"/>
  <c r="N7" i="11"/>
  <c r="M7" i="11"/>
  <c r="L7" i="11"/>
  <c r="K9" i="4"/>
  <c r="M8" i="4"/>
  <c r="L8" i="4"/>
  <c r="N8" i="4"/>
  <c r="AD21" i="12" l="1"/>
  <c r="AJ21" i="12" s="1"/>
  <c r="AD28" i="12"/>
  <c r="AJ28" i="12" s="1"/>
  <c r="M35" i="12"/>
  <c r="AJ35" i="12"/>
  <c r="AD29" i="12"/>
  <c r="AJ29" i="12" s="1"/>
  <c r="AD22" i="12"/>
  <c r="AJ22" i="12" s="1"/>
  <c r="AD30" i="12"/>
  <c r="AJ30" i="12" s="1"/>
  <c r="AD27" i="12"/>
  <c r="AJ27" i="12" s="1"/>
  <c r="AD23" i="12"/>
  <c r="AJ23" i="12" s="1"/>
  <c r="AD31" i="12"/>
  <c r="AJ31" i="12" s="1"/>
  <c r="K37" i="12"/>
  <c r="AD24" i="12"/>
  <c r="AJ24" i="12" s="1"/>
  <c r="AD32" i="12"/>
  <c r="AJ32" i="12" s="1"/>
  <c r="N35" i="12"/>
  <c r="AD25" i="12"/>
  <c r="AJ25" i="12" s="1"/>
  <c r="AD33" i="12"/>
  <c r="AJ33" i="12" s="1"/>
  <c r="L35" i="12"/>
  <c r="AE34" i="12" s="1"/>
  <c r="AK34" i="12" s="1"/>
  <c r="AD26" i="12"/>
  <c r="AJ26" i="12" s="1"/>
  <c r="AD34" i="12"/>
  <c r="AJ34" i="12" s="1"/>
  <c r="K9" i="11"/>
  <c r="N8" i="11"/>
  <c r="M8" i="11"/>
  <c r="L8" i="11"/>
  <c r="N8" i="10"/>
  <c r="K9" i="10"/>
  <c r="L8" i="10"/>
  <c r="M8" i="10"/>
  <c r="K10" i="4"/>
  <c r="M9" i="4"/>
  <c r="N9" i="4"/>
  <c r="L9" i="4"/>
  <c r="AF23" i="12" l="1"/>
  <c r="AL23" i="12" s="1"/>
  <c r="AF31" i="12"/>
  <c r="AL31" i="12" s="1"/>
  <c r="AF24" i="12"/>
  <c r="AL24" i="12" s="1"/>
  <c r="AF32" i="12"/>
  <c r="AL32" i="12" s="1"/>
  <c r="AF25" i="12"/>
  <c r="AL25" i="12" s="1"/>
  <c r="AF26" i="12"/>
  <c r="AL26" i="12" s="1"/>
  <c r="M37" i="12"/>
  <c r="AF27" i="12"/>
  <c r="AL27" i="12" s="1"/>
  <c r="AF30" i="12"/>
  <c r="AL30" i="12" s="1"/>
  <c r="AL35" i="12"/>
  <c r="AF28" i="12"/>
  <c r="AL28" i="12" s="1"/>
  <c r="AF22" i="12"/>
  <c r="AL22" i="12" s="1"/>
  <c r="AF21" i="12"/>
  <c r="AL21" i="12" s="1"/>
  <c r="AF29" i="12"/>
  <c r="AL29" i="12" s="1"/>
  <c r="AF33" i="12"/>
  <c r="AL33" i="12" s="1"/>
  <c r="AG26" i="12"/>
  <c r="AM26" i="12" s="1"/>
  <c r="AG27" i="12"/>
  <c r="AM27" i="12" s="1"/>
  <c r="AG23" i="12"/>
  <c r="AM23" i="12" s="1"/>
  <c r="AG33" i="12"/>
  <c r="AM33" i="12" s="1"/>
  <c r="AG31" i="12"/>
  <c r="AM31" i="12" s="1"/>
  <c r="AG32" i="12"/>
  <c r="AM32" i="12" s="1"/>
  <c r="AM35" i="12"/>
  <c r="AG28" i="12"/>
  <c r="AM28" i="12" s="1"/>
  <c r="AG29" i="12"/>
  <c r="AM29" i="12" s="1"/>
  <c r="AG30" i="12"/>
  <c r="AM30" i="12" s="1"/>
  <c r="AG21" i="12"/>
  <c r="AM21" i="12" s="1"/>
  <c r="AG24" i="12"/>
  <c r="AM24" i="12" s="1"/>
  <c r="AG25" i="12"/>
  <c r="AM25" i="12" s="1"/>
  <c r="AG22" i="12"/>
  <c r="AM22" i="12" s="1"/>
  <c r="AG34" i="12"/>
  <c r="AM34" i="12" s="1"/>
  <c r="AE24" i="12"/>
  <c r="AK24" i="12" s="1"/>
  <c r="AE32" i="12"/>
  <c r="AK32" i="12" s="1"/>
  <c r="AE33" i="12"/>
  <c r="AK33" i="12" s="1"/>
  <c r="AE28" i="12"/>
  <c r="AK28" i="12" s="1"/>
  <c r="AE30" i="12"/>
  <c r="AK30" i="12" s="1"/>
  <c r="AE25" i="12"/>
  <c r="AK25" i="12" s="1"/>
  <c r="AK35" i="12"/>
  <c r="AE26" i="12"/>
  <c r="AK26" i="12" s="1"/>
  <c r="L37" i="12"/>
  <c r="AE27" i="12"/>
  <c r="AK27" i="12" s="1"/>
  <c r="AE22" i="12"/>
  <c r="AK22" i="12" s="1"/>
  <c r="AE31" i="12"/>
  <c r="AK31" i="12" s="1"/>
  <c r="AE29" i="12"/>
  <c r="AK29" i="12" s="1"/>
  <c r="AE21" i="12"/>
  <c r="AK21" i="12" s="1"/>
  <c r="AE23" i="12"/>
  <c r="AK23" i="12" s="1"/>
  <c r="AF34" i="12"/>
  <c r="AL34" i="12" s="1"/>
  <c r="M9" i="10"/>
  <c r="L9" i="10"/>
  <c r="K10" i="10"/>
  <c r="N9" i="10"/>
  <c r="M9" i="11"/>
  <c r="L9" i="11"/>
  <c r="N9" i="11"/>
  <c r="K10" i="11"/>
  <c r="K11" i="4"/>
  <c r="L10" i="4"/>
  <c r="M10" i="4"/>
  <c r="N10" i="4"/>
  <c r="C14" i="3"/>
  <c r="M10" i="11" l="1"/>
  <c r="L10" i="11"/>
  <c r="K11" i="11"/>
  <c r="N10" i="11"/>
  <c r="N10" i="10"/>
  <c r="L10" i="10"/>
  <c r="K11" i="10"/>
  <c r="M10" i="10"/>
  <c r="K12" i="4"/>
  <c r="L11" i="4"/>
  <c r="M11" i="4"/>
  <c r="N11" i="4"/>
  <c r="N11" i="10" l="1"/>
  <c r="M11" i="10"/>
  <c r="L11" i="10"/>
  <c r="K12" i="10"/>
  <c r="N11" i="11"/>
  <c r="M11" i="11"/>
  <c r="L11" i="11"/>
  <c r="K12" i="11"/>
  <c r="K13" i="4"/>
  <c r="L12" i="4"/>
  <c r="N12" i="4"/>
  <c r="M12" i="4"/>
  <c r="M12" i="11" l="1"/>
  <c r="L12" i="11"/>
  <c r="K13" i="11"/>
  <c r="O82" i="11" s="1"/>
  <c r="N12" i="11"/>
  <c r="M12" i="10"/>
  <c r="K13" i="10"/>
  <c r="N12" i="10"/>
  <c r="L12" i="10"/>
  <c r="K14" i="4"/>
  <c r="K14" i="10" l="1"/>
  <c r="N13" i="10"/>
  <c r="M13" i="10"/>
  <c r="L13" i="10"/>
  <c r="K14" i="11"/>
  <c r="O83" i="11" s="1"/>
  <c r="N13" i="11"/>
  <c r="R82" i="11" s="1"/>
  <c r="M13" i="11"/>
  <c r="Q82" i="11" s="1"/>
  <c r="L13" i="11"/>
  <c r="P82" i="11" s="1"/>
  <c r="K15" i="4"/>
  <c r="K15" i="11" l="1"/>
  <c r="O84" i="11" s="1"/>
  <c r="N14" i="11"/>
  <c r="R83" i="11" s="1"/>
  <c r="M14" i="11"/>
  <c r="Q83" i="11" s="1"/>
  <c r="L14" i="11"/>
  <c r="P83" i="11" s="1"/>
  <c r="K15" i="10"/>
  <c r="N14" i="10"/>
  <c r="M14" i="10"/>
  <c r="L14" i="10"/>
  <c r="K16" i="4"/>
  <c r="L16" i="4" s="1"/>
  <c r="L14" i="4"/>
  <c r="M14" i="4"/>
  <c r="N14" i="4"/>
  <c r="N13" i="4"/>
  <c r="M13" i="4"/>
  <c r="L13" i="4"/>
  <c r="M15" i="4"/>
  <c r="L15" i="4"/>
  <c r="N15" i="4"/>
  <c r="L15" i="10" l="1"/>
  <c r="N15" i="10"/>
  <c r="M15" i="10"/>
  <c r="K16" i="10"/>
  <c r="L15" i="11"/>
  <c r="P84" i="11" s="1"/>
  <c r="K16" i="11"/>
  <c r="O85" i="11" s="1"/>
  <c r="M15" i="11"/>
  <c r="Q84" i="11" s="1"/>
  <c r="N15" i="11"/>
  <c r="R84" i="11" s="1"/>
  <c r="N16" i="4"/>
  <c r="M16" i="4"/>
  <c r="K17" i="4"/>
  <c r="L16" i="11" l="1"/>
  <c r="P85" i="11" s="1"/>
  <c r="K17" i="11"/>
  <c r="O86" i="11" s="1"/>
  <c r="N16" i="11"/>
  <c r="R85" i="11" s="1"/>
  <c r="M16" i="11"/>
  <c r="Q85" i="11" s="1"/>
  <c r="M16" i="10"/>
  <c r="L16" i="10"/>
  <c r="N16" i="10"/>
  <c r="K17" i="10"/>
  <c r="K18" i="4"/>
  <c r="L17" i="4"/>
  <c r="N17" i="4"/>
  <c r="M17" i="4"/>
  <c r="M17" i="10" l="1"/>
  <c r="N17" i="10"/>
  <c r="L17" i="10"/>
  <c r="K18" i="10"/>
  <c r="N17" i="11"/>
  <c r="R86" i="11" s="1"/>
  <c r="M17" i="11"/>
  <c r="Q86" i="11" s="1"/>
  <c r="L17" i="11"/>
  <c r="P86" i="11" s="1"/>
  <c r="K18" i="11"/>
  <c r="O87" i="11" s="1"/>
  <c r="K19" i="4"/>
  <c r="M18" i="4"/>
  <c r="L18" i="4"/>
  <c r="N18" i="4"/>
  <c r="N18" i="10" l="1"/>
  <c r="L18" i="10"/>
  <c r="M18" i="10"/>
  <c r="K19" i="10"/>
  <c r="N18" i="11"/>
  <c r="R87" i="11" s="1"/>
  <c r="K19" i="11"/>
  <c r="O88" i="11" s="1"/>
  <c r="M18" i="11"/>
  <c r="Q87" i="11" s="1"/>
  <c r="L18" i="11"/>
  <c r="P87" i="11" s="1"/>
  <c r="N19" i="4"/>
  <c r="M19" i="4"/>
  <c r="L19" i="4"/>
  <c r="K20" i="4"/>
  <c r="N19" i="11" l="1"/>
  <c r="R88" i="11" s="1"/>
  <c r="L19" i="11"/>
  <c r="P88" i="11" s="1"/>
  <c r="K20" i="11"/>
  <c r="O89" i="11" s="1"/>
  <c r="M19" i="11"/>
  <c r="Q88" i="11" s="1"/>
  <c r="N19" i="10"/>
  <c r="M19" i="10"/>
  <c r="L19" i="10"/>
  <c r="K20" i="10"/>
  <c r="AC12" i="4"/>
  <c r="C81" i="4" s="1"/>
  <c r="AC20" i="4"/>
  <c r="C89" i="4" s="1"/>
  <c r="AC35" i="4"/>
  <c r="C104" i="4" s="1"/>
  <c r="N20" i="4"/>
  <c r="L20" i="4"/>
  <c r="K21" i="4"/>
  <c r="M20" i="4"/>
  <c r="AC35" i="10" l="1"/>
  <c r="AC20" i="10"/>
  <c r="L20" i="10"/>
  <c r="K21" i="10"/>
  <c r="N20" i="10"/>
  <c r="M20" i="10"/>
  <c r="AC12" i="10"/>
  <c r="K21" i="11"/>
  <c r="O90" i="11" s="1"/>
  <c r="N20" i="11"/>
  <c r="R89" i="11" s="1"/>
  <c r="M20" i="11"/>
  <c r="Q89" i="11" s="1"/>
  <c r="L20" i="11"/>
  <c r="P89" i="11" s="1"/>
  <c r="AC12" i="11"/>
  <c r="C81" i="11" s="1"/>
  <c r="AC34" i="4"/>
  <c r="C103" i="4" s="1"/>
  <c r="AC26" i="4"/>
  <c r="C95" i="4" s="1"/>
  <c r="AC33" i="4"/>
  <c r="C102" i="4" s="1"/>
  <c r="AC25" i="4"/>
  <c r="C94" i="4" s="1"/>
  <c r="AC32" i="4"/>
  <c r="C101" i="4" s="1"/>
  <c r="AC24" i="4"/>
  <c r="C93" i="4" s="1"/>
  <c r="AC21" i="4"/>
  <c r="C90" i="4" s="1"/>
  <c r="AC28" i="4"/>
  <c r="C97" i="4" s="1"/>
  <c r="AC27" i="4"/>
  <c r="C96" i="4" s="1"/>
  <c r="AC31" i="4"/>
  <c r="C100" i="4" s="1"/>
  <c r="AC23" i="4"/>
  <c r="C92" i="4" s="1"/>
  <c r="AC29" i="4"/>
  <c r="C98" i="4" s="1"/>
  <c r="AC30" i="4"/>
  <c r="C99" i="4" s="1"/>
  <c r="AC22" i="4"/>
  <c r="C91" i="4" s="1"/>
  <c r="AC17" i="4"/>
  <c r="C86" i="4" s="1"/>
  <c r="AC8" i="4"/>
  <c r="C77" i="4" s="1"/>
  <c r="AC16" i="4"/>
  <c r="C85" i="4" s="1"/>
  <c r="AC7" i="4"/>
  <c r="C76" i="4" s="1"/>
  <c r="AC15" i="4"/>
  <c r="C84" i="4" s="1"/>
  <c r="AC14" i="4"/>
  <c r="C83" i="4" s="1"/>
  <c r="AC13" i="4"/>
  <c r="C82" i="4" s="1"/>
  <c r="AC11" i="4"/>
  <c r="C80" i="4" s="1"/>
  <c r="AC19" i="4"/>
  <c r="C88" i="4" s="1"/>
  <c r="AC10" i="4"/>
  <c r="C79" i="4" s="1"/>
  <c r="AC9" i="4"/>
  <c r="C78" i="4" s="1"/>
  <c r="AC18" i="4"/>
  <c r="C87" i="4" s="1"/>
  <c r="AG35" i="4"/>
  <c r="AF35" i="4"/>
  <c r="AE35" i="4"/>
  <c r="AD35" i="4"/>
  <c r="AF20" i="4"/>
  <c r="AE20" i="4"/>
  <c r="AD20" i="4"/>
  <c r="AJ20" i="4" s="1"/>
  <c r="AG20" i="4"/>
  <c r="AG12" i="4"/>
  <c r="AF12" i="4"/>
  <c r="AE12" i="4"/>
  <c r="AD12" i="4"/>
  <c r="K22" i="4"/>
  <c r="M21" i="4"/>
  <c r="L21" i="4"/>
  <c r="N21" i="4"/>
  <c r="AC19" i="10" l="1"/>
  <c r="AF12" i="10"/>
  <c r="AC18" i="10"/>
  <c r="AC11" i="10"/>
  <c r="AD12" i="10"/>
  <c r="AC13" i="10"/>
  <c r="AG12" i="10"/>
  <c r="AC8" i="10"/>
  <c r="AC17" i="10"/>
  <c r="AC7" i="10"/>
  <c r="AC15" i="10"/>
  <c r="AC10" i="10"/>
  <c r="AC9" i="10"/>
  <c r="AC16" i="10"/>
  <c r="AE12" i="10"/>
  <c r="AC14" i="10"/>
  <c r="K22" i="11"/>
  <c r="O91" i="11" s="1"/>
  <c r="L21" i="11"/>
  <c r="P90" i="11" s="1"/>
  <c r="N21" i="11"/>
  <c r="R90" i="11" s="1"/>
  <c r="M21" i="11"/>
  <c r="Q90" i="11" s="1"/>
  <c r="AD12" i="11"/>
  <c r="D81" i="11" s="1"/>
  <c r="I81" i="11" s="1"/>
  <c r="AE12" i="11"/>
  <c r="E81" i="11" s="1"/>
  <c r="J81" i="11" s="1"/>
  <c r="AF12" i="11"/>
  <c r="F81" i="11" s="1"/>
  <c r="K81" i="11" s="1"/>
  <c r="AG12" i="11"/>
  <c r="G81" i="11" s="1"/>
  <c r="L81" i="11" s="1"/>
  <c r="AC10" i="11"/>
  <c r="C79" i="11" s="1"/>
  <c r="AC11" i="11"/>
  <c r="C80" i="11" s="1"/>
  <c r="AC7" i="11"/>
  <c r="C76" i="11" s="1"/>
  <c r="AC8" i="11"/>
  <c r="C77" i="11" s="1"/>
  <c r="AC9" i="11"/>
  <c r="C78" i="11" s="1"/>
  <c r="K22" i="10"/>
  <c r="N21" i="10"/>
  <c r="M21" i="10"/>
  <c r="L21" i="10"/>
  <c r="AC34" i="10"/>
  <c r="AC31" i="10"/>
  <c r="AC30" i="10"/>
  <c r="AC28" i="10"/>
  <c r="AE20" i="10"/>
  <c r="AC25" i="10"/>
  <c r="AC26" i="10"/>
  <c r="AC23" i="10"/>
  <c r="AC24" i="10"/>
  <c r="AF20" i="10"/>
  <c r="AC22" i="10"/>
  <c r="AG20" i="10"/>
  <c r="AC21" i="10"/>
  <c r="AC27" i="10"/>
  <c r="AC32" i="10"/>
  <c r="AC29" i="10"/>
  <c r="AC33" i="10"/>
  <c r="AD20" i="10"/>
  <c r="AD35" i="10"/>
  <c r="AF35" i="10"/>
  <c r="AE35" i="10"/>
  <c r="AG35" i="10"/>
  <c r="AJ12" i="4"/>
  <c r="AD11" i="4"/>
  <c r="AJ11" i="4" s="1"/>
  <c r="AD8" i="4"/>
  <c r="AJ8" i="4" s="1"/>
  <c r="AD9" i="4"/>
  <c r="AJ9" i="4" s="1"/>
  <c r="AD7" i="4"/>
  <c r="AJ7" i="4" s="1"/>
  <c r="AD10" i="4"/>
  <c r="AJ10" i="4" s="1"/>
  <c r="AD15" i="4"/>
  <c r="AJ15" i="4" s="1"/>
  <c r="AD18" i="4"/>
  <c r="AJ18" i="4" s="1"/>
  <c r="AD19" i="4"/>
  <c r="AJ19" i="4" s="1"/>
  <c r="AD17" i="4"/>
  <c r="AJ17" i="4" s="1"/>
  <c r="AD13" i="4"/>
  <c r="AJ13" i="4" s="1"/>
  <c r="AD16" i="4"/>
  <c r="AJ16" i="4" s="1"/>
  <c r="AD14" i="4"/>
  <c r="AJ14" i="4" s="1"/>
  <c r="AK12" i="4"/>
  <c r="AE13" i="4"/>
  <c r="AK13" i="4" s="1"/>
  <c r="AE14" i="4"/>
  <c r="AK14" i="4" s="1"/>
  <c r="AE7" i="4"/>
  <c r="AK7" i="4" s="1"/>
  <c r="AE19" i="4"/>
  <c r="AK19" i="4" s="1"/>
  <c r="AE16" i="4"/>
  <c r="AK16" i="4" s="1"/>
  <c r="AE18" i="4"/>
  <c r="AK18" i="4" s="1"/>
  <c r="AE11" i="4"/>
  <c r="AK11" i="4" s="1"/>
  <c r="AE15" i="4"/>
  <c r="AK15" i="4" s="1"/>
  <c r="AE17" i="4"/>
  <c r="AK17" i="4" s="1"/>
  <c r="AE10" i="4"/>
  <c r="AK10" i="4" s="1"/>
  <c r="AE9" i="4"/>
  <c r="AK9" i="4" s="1"/>
  <c r="AE8" i="4"/>
  <c r="AK8" i="4" s="1"/>
  <c r="AF14" i="4"/>
  <c r="AL14" i="4" s="1"/>
  <c r="AF9" i="4"/>
  <c r="AL9" i="4" s="1"/>
  <c r="AF11" i="4"/>
  <c r="AL11" i="4" s="1"/>
  <c r="AL12" i="4"/>
  <c r="AF13" i="4"/>
  <c r="AL13" i="4" s="1"/>
  <c r="AF8" i="4"/>
  <c r="AL8" i="4" s="1"/>
  <c r="AF17" i="4"/>
  <c r="AL17" i="4" s="1"/>
  <c r="AF16" i="4"/>
  <c r="AL16" i="4" s="1"/>
  <c r="AF7" i="4"/>
  <c r="AL7" i="4" s="1"/>
  <c r="AF10" i="4"/>
  <c r="AL10" i="4" s="1"/>
  <c r="AF19" i="4"/>
  <c r="AL19" i="4" s="1"/>
  <c r="AF18" i="4"/>
  <c r="AL18" i="4" s="1"/>
  <c r="AF15" i="4"/>
  <c r="AL15" i="4" s="1"/>
  <c r="AG15" i="4"/>
  <c r="AM15" i="4" s="1"/>
  <c r="AG18" i="4"/>
  <c r="AM18" i="4" s="1"/>
  <c r="AG14" i="4"/>
  <c r="AM14" i="4" s="1"/>
  <c r="AG11" i="4"/>
  <c r="AM11" i="4" s="1"/>
  <c r="AG13" i="4"/>
  <c r="AM13" i="4" s="1"/>
  <c r="AG10" i="4"/>
  <c r="AM10" i="4" s="1"/>
  <c r="AG17" i="4"/>
  <c r="AM17" i="4" s="1"/>
  <c r="AG9" i="4"/>
  <c r="AM9" i="4" s="1"/>
  <c r="AG7" i="4"/>
  <c r="AM7" i="4" s="1"/>
  <c r="AM12" i="4"/>
  <c r="AG16" i="4"/>
  <c r="AM16" i="4" s="1"/>
  <c r="AG19" i="4"/>
  <c r="AM19" i="4" s="1"/>
  <c r="AG8" i="4"/>
  <c r="AM8" i="4" s="1"/>
  <c r="AM20" i="4"/>
  <c r="AK20" i="4"/>
  <c r="AL20" i="4"/>
  <c r="L22" i="4"/>
  <c r="K23" i="4"/>
  <c r="N22" i="4"/>
  <c r="M22" i="4"/>
  <c r="AE15" i="10" l="1"/>
  <c r="AK15" i="10" s="1"/>
  <c r="AE7" i="10"/>
  <c r="AK7" i="10" s="1"/>
  <c r="AE8" i="10"/>
  <c r="AK8" i="10" s="1"/>
  <c r="AE19" i="10"/>
  <c r="AK19" i="10" s="1"/>
  <c r="AE9" i="10"/>
  <c r="AK9" i="10" s="1"/>
  <c r="AE16" i="10"/>
  <c r="AK16" i="10" s="1"/>
  <c r="AE11" i="10"/>
  <c r="AK11" i="10" s="1"/>
  <c r="AK12" i="10"/>
  <c r="AE17" i="10"/>
  <c r="AK17" i="10" s="1"/>
  <c r="AE18" i="10"/>
  <c r="AK18" i="10" s="1"/>
  <c r="AE10" i="10"/>
  <c r="AK10" i="10" s="1"/>
  <c r="AE13" i="10"/>
  <c r="AK13" i="10" s="1"/>
  <c r="AE14" i="10"/>
  <c r="AK14" i="10" s="1"/>
  <c r="AG13" i="10"/>
  <c r="AM13" i="10" s="1"/>
  <c r="AG11" i="10"/>
  <c r="AM11" i="10" s="1"/>
  <c r="AG10" i="10"/>
  <c r="AM10" i="10" s="1"/>
  <c r="AG18" i="10"/>
  <c r="AM18" i="10" s="1"/>
  <c r="AG7" i="10"/>
  <c r="AM7" i="10" s="1"/>
  <c r="AG14" i="10"/>
  <c r="AM14" i="10" s="1"/>
  <c r="AG8" i="10"/>
  <c r="AM8" i="10" s="1"/>
  <c r="AG19" i="10"/>
  <c r="AM19" i="10" s="1"/>
  <c r="AG15" i="10"/>
  <c r="AM15" i="10" s="1"/>
  <c r="AG9" i="10"/>
  <c r="AM9" i="10" s="1"/>
  <c r="AG16" i="10"/>
  <c r="AM16" i="10" s="1"/>
  <c r="AG17" i="10"/>
  <c r="AM17" i="10" s="1"/>
  <c r="AM12" i="10"/>
  <c r="AM12" i="11"/>
  <c r="AG11" i="11"/>
  <c r="AG8" i="11"/>
  <c r="AG7" i="11"/>
  <c r="AG10" i="11"/>
  <c r="AG9" i="11"/>
  <c r="AL20" i="10"/>
  <c r="AL12" i="11"/>
  <c r="AF7" i="11"/>
  <c r="AF11" i="11"/>
  <c r="AF9" i="11"/>
  <c r="AF8" i="11"/>
  <c r="AF10" i="11"/>
  <c r="AD17" i="10"/>
  <c r="AJ17" i="10" s="1"/>
  <c r="AD11" i="10"/>
  <c r="AJ11" i="10" s="1"/>
  <c r="AD14" i="10"/>
  <c r="AJ14" i="10" s="1"/>
  <c r="AD10" i="10"/>
  <c r="AJ10" i="10" s="1"/>
  <c r="AD9" i="10"/>
  <c r="AJ9" i="10" s="1"/>
  <c r="AD18" i="10"/>
  <c r="AJ18" i="10" s="1"/>
  <c r="AD8" i="10"/>
  <c r="AJ8" i="10" s="1"/>
  <c r="AD7" i="10"/>
  <c r="AJ7" i="10" s="1"/>
  <c r="AD13" i="10"/>
  <c r="AJ13" i="10" s="1"/>
  <c r="AD19" i="10"/>
  <c r="AJ19" i="10" s="1"/>
  <c r="AD16" i="10"/>
  <c r="AJ16" i="10" s="1"/>
  <c r="AJ12" i="10"/>
  <c r="AD15" i="10"/>
  <c r="AJ15" i="10" s="1"/>
  <c r="AJ20" i="10"/>
  <c r="AK12" i="11"/>
  <c r="AE9" i="11"/>
  <c r="AE11" i="11"/>
  <c r="AE7" i="11"/>
  <c r="AE8" i="11"/>
  <c r="AE10" i="11"/>
  <c r="AK20" i="10"/>
  <c r="L22" i="10"/>
  <c r="K23" i="10"/>
  <c r="N22" i="10"/>
  <c r="M22" i="10"/>
  <c r="AJ12" i="11"/>
  <c r="AD7" i="11"/>
  <c r="AD8" i="11"/>
  <c r="AD9" i="11"/>
  <c r="AD10" i="11"/>
  <c r="AD11" i="11"/>
  <c r="AM20" i="10"/>
  <c r="AF15" i="10"/>
  <c r="AL15" i="10" s="1"/>
  <c r="AF9" i="10"/>
  <c r="AL9" i="10" s="1"/>
  <c r="AF7" i="10"/>
  <c r="AL7" i="10" s="1"/>
  <c r="AF16" i="10"/>
  <c r="AL16" i="10" s="1"/>
  <c r="AF17" i="10"/>
  <c r="AL17" i="10" s="1"/>
  <c r="AF18" i="10"/>
  <c r="AL18" i="10" s="1"/>
  <c r="AL12" i="10"/>
  <c r="AF11" i="10"/>
  <c r="AL11" i="10" s="1"/>
  <c r="AF13" i="10"/>
  <c r="AL13" i="10" s="1"/>
  <c r="AF19" i="10"/>
  <c r="AL19" i="10" s="1"/>
  <c r="AF10" i="10"/>
  <c r="AL10" i="10" s="1"/>
  <c r="AF14" i="10"/>
  <c r="AL14" i="10" s="1"/>
  <c r="AF8" i="10"/>
  <c r="AL8" i="10" s="1"/>
  <c r="L22" i="11"/>
  <c r="P91" i="11" s="1"/>
  <c r="M22" i="11"/>
  <c r="Q91" i="11" s="1"/>
  <c r="K23" i="11"/>
  <c r="O92" i="11" s="1"/>
  <c r="N22" i="11"/>
  <c r="R91" i="11" s="1"/>
  <c r="L23" i="4"/>
  <c r="M23" i="4"/>
  <c r="K24" i="4"/>
  <c r="N23" i="4"/>
  <c r="AM9" i="11" l="1"/>
  <c r="G78" i="11"/>
  <c r="L78" i="11" s="1"/>
  <c r="AJ11" i="11"/>
  <c r="D80" i="11"/>
  <c r="I80" i="11" s="1"/>
  <c r="AL8" i="11"/>
  <c r="F77" i="11"/>
  <c r="K77" i="11" s="1"/>
  <c r="AM10" i="11"/>
  <c r="G79" i="11"/>
  <c r="L79" i="11" s="1"/>
  <c r="AM7" i="11"/>
  <c r="G76" i="11"/>
  <c r="L76" i="11" s="1"/>
  <c r="AL9" i="11"/>
  <c r="F78" i="11"/>
  <c r="K78" i="11" s="1"/>
  <c r="AM11" i="11"/>
  <c r="G80" i="11"/>
  <c r="L80" i="11" s="1"/>
  <c r="AK10" i="11"/>
  <c r="E79" i="11"/>
  <c r="J79" i="11" s="1"/>
  <c r="AL7" i="11"/>
  <c r="F76" i="11"/>
  <c r="K76" i="11" s="1"/>
  <c r="AK11" i="11"/>
  <c r="E80" i="11"/>
  <c r="J80" i="11" s="1"/>
  <c r="AK9" i="11"/>
  <c r="E78" i="11"/>
  <c r="J78" i="11" s="1"/>
  <c r="AL10" i="11"/>
  <c r="F79" i="11"/>
  <c r="K79" i="11" s="1"/>
  <c r="AM8" i="11"/>
  <c r="G77" i="11"/>
  <c r="L77" i="11" s="1"/>
  <c r="AL11" i="11"/>
  <c r="F80" i="11"/>
  <c r="K80" i="11" s="1"/>
  <c r="AJ8" i="11"/>
  <c r="D77" i="11"/>
  <c r="I77" i="11" s="1"/>
  <c r="AK8" i="11"/>
  <c r="E77" i="11"/>
  <c r="J77" i="11" s="1"/>
  <c r="AJ10" i="11"/>
  <c r="D79" i="11"/>
  <c r="I79" i="11" s="1"/>
  <c r="AJ9" i="11"/>
  <c r="D78" i="11"/>
  <c r="I78" i="11" s="1"/>
  <c r="AJ7" i="11"/>
  <c r="D76" i="11"/>
  <c r="I76" i="11" s="1"/>
  <c r="AK7" i="11"/>
  <c r="E76" i="11"/>
  <c r="J76" i="11" s="1"/>
  <c r="L23" i="10"/>
  <c r="K24" i="10"/>
  <c r="M23" i="10"/>
  <c r="N23" i="10"/>
  <c r="M23" i="11"/>
  <c r="Q92" i="11" s="1"/>
  <c r="L23" i="11"/>
  <c r="P92" i="11" s="1"/>
  <c r="K24" i="11"/>
  <c r="O93" i="11" s="1"/>
  <c r="N23" i="11"/>
  <c r="R92" i="11" s="1"/>
  <c r="K25" i="4"/>
  <c r="M24" i="4"/>
  <c r="L24" i="4"/>
  <c r="N24" i="4"/>
  <c r="N24" i="11" l="1"/>
  <c r="R93" i="11" s="1"/>
  <c r="M24" i="11"/>
  <c r="Q93" i="11" s="1"/>
  <c r="L24" i="11"/>
  <c r="P93" i="11" s="1"/>
  <c r="K25" i="11"/>
  <c r="O94" i="11" s="1"/>
  <c r="N24" i="10"/>
  <c r="L24" i="10"/>
  <c r="K25" i="10"/>
  <c r="M24" i="10"/>
  <c r="M25" i="4"/>
  <c r="L25" i="4"/>
  <c r="N25" i="4"/>
  <c r="K26" i="4"/>
  <c r="N25" i="11" l="1"/>
  <c r="R94" i="11" s="1"/>
  <c r="M25" i="11"/>
  <c r="Q94" i="11" s="1"/>
  <c r="L25" i="11"/>
  <c r="P94" i="11" s="1"/>
  <c r="K26" i="11"/>
  <c r="O95" i="11" s="1"/>
  <c r="N25" i="10"/>
  <c r="M25" i="10"/>
  <c r="L25" i="10"/>
  <c r="K26" i="10"/>
  <c r="M26" i="4"/>
  <c r="K27" i="4"/>
  <c r="L26" i="4"/>
  <c r="N26" i="4"/>
  <c r="L26" i="10" l="1"/>
  <c r="M26" i="10"/>
  <c r="N26" i="10"/>
  <c r="K27" i="10"/>
  <c r="M26" i="11"/>
  <c r="Q95" i="11" s="1"/>
  <c r="L26" i="11"/>
  <c r="P95" i="11" s="1"/>
  <c r="K27" i="11"/>
  <c r="O96" i="11" s="1"/>
  <c r="N26" i="11"/>
  <c r="R95" i="11" s="1"/>
  <c r="K28" i="4"/>
  <c r="N27" i="4"/>
  <c r="M27" i="4"/>
  <c r="L27" i="4"/>
  <c r="N27" i="11" l="1"/>
  <c r="R96" i="11" s="1"/>
  <c r="M27" i="11"/>
  <c r="Q96" i="11" s="1"/>
  <c r="L27" i="11"/>
  <c r="P96" i="11" s="1"/>
  <c r="K28" i="11"/>
  <c r="O97" i="11" s="1"/>
  <c r="N27" i="10"/>
  <c r="K28" i="10"/>
  <c r="M27" i="10"/>
  <c r="L27" i="10"/>
  <c r="N28" i="4"/>
  <c r="M28" i="4"/>
  <c r="K29" i="4"/>
  <c r="L28" i="4"/>
  <c r="AC20" i="11" l="1"/>
  <c r="C89" i="11" s="1"/>
  <c r="AC35" i="11"/>
  <c r="C104" i="11" s="1"/>
  <c r="K29" i="11"/>
  <c r="O98" i="11" s="1"/>
  <c r="N28" i="11"/>
  <c r="R97" i="11" s="1"/>
  <c r="M28" i="11"/>
  <c r="Q97" i="11" s="1"/>
  <c r="L28" i="11"/>
  <c r="P97" i="11" s="1"/>
  <c r="K29" i="10"/>
  <c r="M28" i="10"/>
  <c r="L28" i="10"/>
  <c r="N28" i="10"/>
  <c r="L29" i="4"/>
  <c r="M29" i="4"/>
  <c r="K30" i="4"/>
  <c r="N29" i="4"/>
  <c r="AD35" i="11" l="1"/>
  <c r="D104" i="11" s="1"/>
  <c r="I104" i="11" s="1"/>
  <c r="AE35" i="11"/>
  <c r="E104" i="11" s="1"/>
  <c r="J104" i="11" s="1"/>
  <c r="AF35" i="11"/>
  <c r="F104" i="11" s="1"/>
  <c r="K104" i="11" s="1"/>
  <c r="AG35" i="11"/>
  <c r="G104" i="11" s="1"/>
  <c r="L104" i="11" s="1"/>
  <c r="AC24" i="11"/>
  <c r="C93" i="11" s="1"/>
  <c r="AC23" i="11"/>
  <c r="C92" i="11" s="1"/>
  <c r="AC14" i="11"/>
  <c r="C83" i="11" s="1"/>
  <c r="AC33" i="11"/>
  <c r="C102" i="11" s="1"/>
  <c r="AC17" i="11"/>
  <c r="C86" i="11" s="1"/>
  <c r="AD20" i="11"/>
  <c r="D89" i="11" s="1"/>
  <c r="I89" i="11" s="1"/>
  <c r="AC26" i="11"/>
  <c r="C95" i="11" s="1"/>
  <c r="AC27" i="11"/>
  <c r="C96" i="11" s="1"/>
  <c r="AC13" i="11"/>
  <c r="C82" i="11" s="1"/>
  <c r="AC22" i="11"/>
  <c r="C91" i="11" s="1"/>
  <c r="AC32" i="11"/>
  <c r="C101" i="11" s="1"/>
  <c r="AE20" i="11"/>
  <c r="E89" i="11" s="1"/>
  <c r="J89" i="11" s="1"/>
  <c r="AC34" i="11"/>
  <c r="C103" i="11" s="1"/>
  <c r="AC19" i="11"/>
  <c r="C88" i="11" s="1"/>
  <c r="AC30" i="11"/>
  <c r="C99" i="11" s="1"/>
  <c r="AC25" i="11"/>
  <c r="C94" i="11" s="1"/>
  <c r="AG20" i="11"/>
  <c r="G89" i="11" s="1"/>
  <c r="L89" i="11" s="1"/>
  <c r="AC28" i="11"/>
  <c r="C97" i="11" s="1"/>
  <c r="AC16" i="11"/>
  <c r="C85" i="11" s="1"/>
  <c r="AC21" i="11"/>
  <c r="C90" i="11" s="1"/>
  <c r="AC31" i="11"/>
  <c r="C100" i="11" s="1"/>
  <c r="AF20" i="11"/>
  <c r="F89" i="11" s="1"/>
  <c r="K89" i="11" s="1"/>
  <c r="AC29" i="11"/>
  <c r="C98" i="11" s="1"/>
  <c r="AC15" i="11"/>
  <c r="C84" i="11" s="1"/>
  <c r="AC18" i="11"/>
  <c r="C87" i="11" s="1"/>
  <c r="K30" i="10"/>
  <c r="N29" i="10"/>
  <c r="M29" i="10"/>
  <c r="L29" i="10"/>
  <c r="N29" i="11"/>
  <c r="R98" i="11" s="1"/>
  <c r="L29" i="11"/>
  <c r="P98" i="11" s="1"/>
  <c r="M29" i="11"/>
  <c r="Q98" i="11" s="1"/>
  <c r="K30" i="11"/>
  <c r="O99" i="11" s="1"/>
  <c r="M30" i="4"/>
  <c r="K31" i="4"/>
  <c r="N30" i="4"/>
  <c r="L30" i="4"/>
  <c r="AF14" i="11" l="1"/>
  <c r="AF17" i="11"/>
  <c r="AF19" i="11"/>
  <c r="AF18" i="11"/>
  <c r="AF13" i="11"/>
  <c r="AF15" i="11"/>
  <c r="AF16" i="11"/>
  <c r="AL20" i="11"/>
  <c r="AD18" i="11"/>
  <c r="AD13" i="11"/>
  <c r="AD16" i="11"/>
  <c r="AD14" i="11"/>
  <c r="AD17" i="11"/>
  <c r="AJ20" i="11"/>
  <c r="AD15" i="11"/>
  <c r="AD19" i="11"/>
  <c r="AE14" i="11"/>
  <c r="AK20" i="11"/>
  <c r="AE16" i="11"/>
  <c r="AE19" i="11"/>
  <c r="AE15" i="11"/>
  <c r="AE13" i="11"/>
  <c r="AE17" i="11"/>
  <c r="AE18" i="11"/>
  <c r="AG17" i="11"/>
  <c r="AG13" i="11"/>
  <c r="AG16" i="11"/>
  <c r="AM20" i="11"/>
  <c r="AG14" i="11"/>
  <c r="AG15" i="11"/>
  <c r="AG18" i="11"/>
  <c r="AG19" i="11"/>
  <c r="L30" i="11"/>
  <c r="P99" i="11" s="1"/>
  <c r="M30" i="11"/>
  <c r="Q99" i="11" s="1"/>
  <c r="N30" i="11"/>
  <c r="R99" i="11" s="1"/>
  <c r="K31" i="11"/>
  <c r="O100" i="11" s="1"/>
  <c r="L30" i="10"/>
  <c r="K31" i="10"/>
  <c r="M30" i="10"/>
  <c r="N30" i="10"/>
  <c r="K32" i="4"/>
  <c r="L31" i="4"/>
  <c r="N31" i="4"/>
  <c r="M31" i="4"/>
  <c r="AM15" i="11" l="1"/>
  <c r="G84" i="11"/>
  <c r="L84" i="11" s="1"/>
  <c r="AL15" i="11"/>
  <c r="F84" i="11"/>
  <c r="K84" i="11" s="1"/>
  <c r="AM19" i="11"/>
  <c r="G88" i="11"/>
  <c r="L88" i="11" s="1"/>
  <c r="AJ15" i="11"/>
  <c r="D84" i="11"/>
  <c r="I84" i="11" s="1"/>
  <c r="AK15" i="11"/>
  <c r="E84" i="11"/>
  <c r="J84" i="11" s="1"/>
  <c r="AJ17" i="11"/>
  <c r="D86" i="11"/>
  <c r="I86" i="11" s="1"/>
  <c r="AL13" i="11"/>
  <c r="F82" i="11"/>
  <c r="K82" i="11" s="1"/>
  <c r="AK18" i="11"/>
  <c r="E87" i="11"/>
  <c r="J87" i="11" s="1"/>
  <c r="AM18" i="11"/>
  <c r="G87" i="11"/>
  <c r="L87" i="11" s="1"/>
  <c r="AJ14" i="11"/>
  <c r="D83" i="11"/>
  <c r="I83" i="11" s="1"/>
  <c r="AJ19" i="11"/>
  <c r="D88" i="11"/>
  <c r="I88" i="11" s="1"/>
  <c r="AL16" i="11"/>
  <c r="F85" i="11"/>
  <c r="K85" i="11" s="1"/>
  <c r="AM14" i="11"/>
  <c r="G83" i="11"/>
  <c r="L83" i="11" s="1"/>
  <c r="AK19" i="11"/>
  <c r="E88" i="11"/>
  <c r="J88" i="11" s="1"/>
  <c r="AK16" i="11"/>
  <c r="E85" i="11"/>
  <c r="J85" i="11" s="1"/>
  <c r="AJ13" i="11"/>
  <c r="D82" i="11"/>
  <c r="I82" i="11" s="1"/>
  <c r="AL17" i="11"/>
  <c r="F86" i="11"/>
  <c r="K86" i="11" s="1"/>
  <c r="AK17" i="11"/>
  <c r="E86" i="11"/>
  <c r="J86" i="11" s="1"/>
  <c r="AK13" i="11"/>
  <c r="E82" i="11"/>
  <c r="J82" i="11" s="1"/>
  <c r="AL18" i="11"/>
  <c r="F87" i="11"/>
  <c r="K87" i="11" s="1"/>
  <c r="AM16" i="11"/>
  <c r="G85" i="11"/>
  <c r="L85" i="11" s="1"/>
  <c r="AJ16" i="11"/>
  <c r="D85" i="11"/>
  <c r="I85" i="11" s="1"/>
  <c r="AL19" i="11"/>
  <c r="F88" i="11"/>
  <c r="K88" i="11" s="1"/>
  <c r="AM13" i="11"/>
  <c r="G82" i="11"/>
  <c r="L82" i="11" s="1"/>
  <c r="AM17" i="11"/>
  <c r="G86" i="11"/>
  <c r="L86" i="11" s="1"/>
  <c r="AK14" i="11"/>
  <c r="E83" i="11"/>
  <c r="J83" i="11" s="1"/>
  <c r="AJ18" i="11"/>
  <c r="D87" i="11"/>
  <c r="I87" i="11" s="1"/>
  <c r="AL14" i="11"/>
  <c r="F83" i="11"/>
  <c r="K83" i="11" s="1"/>
  <c r="K32" i="11"/>
  <c r="O101" i="11" s="1"/>
  <c r="N31" i="11"/>
  <c r="R100" i="11" s="1"/>
  <c r="M31" i="11"/>
  <c r="Q100" i="11" s="1"/>
  <c r="L31" i="11"/>
  <c r="P100" i="11" s="1"/>
  <c r="M31" i="10"/>
  <c r="L31" i="10"/>
  <c r="N31" i="10"/>
  <c r="K32" i="10"/>
  <c r="L32" i="4"/>
  <c r="K33" i="4"/>
  <c r="N32" i="4"/>
  <c r="M32" i="4"/>
  <c r="N32" i="10" l="1"/>
  <c r="L32" i="10"/>
  <c r="K33" i="10"/>
  <c r="M32" i="10"/>
  <c r="N32" i="11"/>
  <c r="R101" i="11" s="1"/>
  <c r="M32" i="11"/>
  <c r="Q101" i="11" s="1"/>
  <c r="L32" i="11"/>
  <c r="P101" i="11" s="1"/>
  <c r="K33" i="11"/>
  <c r="O102" i="11" s="1"/>
  <c r="K34" i="4"/>
  <c r="N33" i="4"/>
  <c r="M33" i="4"/>
  <c r="L33" i="4"/>
  <c r="N33" i="11" l="1"/>
  <c r="R102" i="11" s="1"/>
  <c r="M33" i="11"/>
  <c r="Q102" i="11" s="1"/>
  <c r="L33" i="11"/>
  <c r="P102" i="11" s="1"/>
  <c r="K34" i="11"/>
  <c r="O103" i="11" s="1"/>
  <c r="N33" i="10"/>
  <c r="M33" i="10"/>
  <c r="L33" i="10"/>
  <c r="K34" i="10"/>
  <c r="N34" i="4"/>
  <c r="L34" i="4"/>
  <c r="M34" i="4"/>
  <c r="K35" i="4"/>
  <c r="AJ35" i="4" s="1"/>
  <c r="N34" i="11" l="1"/>
  <c r="R103" i="11" s="1"/>
  <c r="M34" i="11"/>
  <c r="Q103" i="11" s="1"/>
  <c r="L34" i="11"/>
  <c r="P103" i="11" s="1"/>
  <c r="K35" i="11"/>
  <c r="N34" i="10"/>
  <c r="M34" i="10"/>
  <c r="L34" i="10"/>
  <c r="K35" i="10"/>
  <c r="AD21" i="4"/>
  <c r="AJ21" i="4" s="1"/>
  <c r="AD22" i="4"/>
  <c r="AJ22" i="4" s="1"/>
  <c r="AD23" i="4"/>
  <c r="AJ23" i="4" s="1"/>
  <c r="AD24" i="4"/>
  <c r="AJ24" i="4" s="1"/>
  <c r="AD25" i="4"/>
  <c r="AJ25" i="4" s="1"/>
  <c r="AD26" i="4"/>
  <c r="AJ26" i="4" s="1"/>
  <c r="AD27" i="4"/>
  <c r="AJ27" i="4" s="1"/>
  <c r="AD28" i="4"/>
  <c r="AJ28" i="4" s="1"/>
  <c r="AD29" i="4"/>
  <c r="AJ29" i="4" s="1"/>
  <c r="AD30" i="4"/>
  <c r="AJ30" i="4" s="1"/>
  <c r="AD31" i="4"/>
  <c r="AJ31" i="4" s="1"/>
  <c r="N35" i="4"/>
  <c r="AG34" i="4" s="1"/>
  <c r="AM34" i="4" s="1"/>
  <c r="L35" i="4"/>
  <c r="K37" i="4"/>
  <c r="M35" i="4"/>
  <c r="AF34" i="4" s="1"/>
  <c r="AL34" i="4" s="1"/>
  <c r="AD32" i="4"/>
  <c r="AJ32" i="4" s="1"/>
  <c r="AD33" i="4"/>
  <c r="AJ33" i="4" s="1"/>
  <c r="AD34" i="4"/>
  <c r="AJ34" i="4" s="1"/>
  <c r="AD34" i="11" l="1"/>
  <c r="O104" i="11"/>
  <c r="K37" i="11"/>
  <c r="N35" i="11"/>
  <c r="R104" i="11" s="1"/>
  <c r="M35" i="11"/>
  <c r="Q104" i="11" s="1"/>
  <c r="L35" i="11"/>
  <c r="P104" i="11" s="1"/>
  <c r="AJ35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0"/>
  <c r="AJ34" i="10" s="1"/>
  <c r="K37" i="10"/>
  <c r="N35" i="10"/>
  <c r="M35" i="10"/>
  <c r="L35" i="10"/>
  <c r="AJ35" i="10"/>
  <c r="AD21" i="10"/>
  <c r="AJ21" i="10" s="1"/>
  <c r="AD22" i="10"/>
  <c r="AJ22" i="10" s="1"/>
  <c r="AD23" i="10"/>
  <c r="AJ23" i="10" s="1"/>
  <c r="AD24" i="10"/>
  <c r="AJ24" i="10" s="1"/>
  <c r="AD25" i="10"/>
  <c r="AJ25" i="10" s="1"/>
  <c r="AD26" i="10"/>
  <c r="AJ26" i="10" s="1"/>
  <c r="AD27" i="10"/>
  <c r="AJ27" i="10" s="1"/>
  <c r="AD28" i="10"/>
  <c r="AJ28" i="10" s="1"/>
  <c r="AD29" i="10"/>
  <c r="AJ29" i="10" s="1"/>
  <c r="AD30" i="10"/>
  <c r="AJ30" i="10" s="1"/>
  <c r="AD31" i="10"/>
  <c r="AJ31" i="10" s="1"/>
  <c r="AD32" i="10"/>
  <c r="AJ32" i="10" s="1"/>
  <c r="AD33" i="10"/>
  <c r="AJ33" i="10" s="1"/>
  <c r="AE34" i="11"/>
  <c r="L37" i="4"/>
  <c r="AK35" i="4"/>
  <c r="AE21" i="4"/>
  <c r="AK21" i="4" s="1"/>
  <c r="AE22" i="4"/>
  <c r="AK22" i="4" s="1"/>
  <c r="AE23" i="4"/>
  <c r="AK23" i="4" s="1"/>
  <c r="AE24" i="4"/>
  <c r="AK24" i="4" s="1"/>
  <c r="AE25" i="4"/>
  <c r="AK25" i="4" s="1"/>
  <c r="AE26" i="4"/>
  <c r="AK26" i="4" s="1"/>
  <c r="AE27" i="4"/>
  <c r="AK27" i="4" s="1"/>
  <c r="AE28" i="4"/>
  <c r="AK28" i="4" s="1"/>
  <c r="AE29" i="4"/>
  <c r="AK29" i="4" s="1"/>
  <c r="AE30" i="4"/>
  <c r="AK30" i="4" s="1"/>
  <c r="AE31" i="4"/>
  <c r="AK31" i="4" s="1"/>
  <c r="AE32" i="4"/>
  <c r="AK32" i="4" s="1"/>
  <c r="AE33" i="4"/>
  <c r="AK33" i="4" s="1"/>
  <c r="AM35" i="4"/>
  <c r="AG21" i="4"/>
  <c r="AM21" i="4" s="1"/>
  <c r="AG22" i="4"/>
  <c r="AM22" i="4" s="1"/>
  <c r="AG23" i="4"/>
  <c r="AM23" i="4" s="1"/>
  <c r="AG24" i="4"/>
  <c r="AM24" i="4" s="1"/>
  <c r="AG25" i="4"/>
  <c r="AM25" i="4" s="1"/>
  <c r="AG26" i="4"/>
  <c r="AM26" i="4" s="1"/>
  <c r="AG27" i="4"/>
  <c r="AM27" i="4" s="1"/>
  <c r="AG28" i="4"/>
  <c r="AM28" i="4" s="1"/>
  <c r="AG29" i="4"/>
  <c r="AM29" i="4" s="1"/>
  <c r="AG30" i="4"/>
  <c r="AM30" i="4" s="1"/>
  <c r="AG31" i="4"/>
  <c r="AM31" i="4" s="1"/>
  <c r="AG32" i="4"/>
  <c r="AM32" i="4" s="1"/>
  <c r="AG33" i="4"/>
  <c r="AM33" i="4" s="1"/>
  <c r="M37" i="4"/>
  <c r="AF21" i="4"/>
  <c r="AL21" i="4" s="1"/>
  <c r="AF22" i="4"/>
  <c r="AL22" i="4" s="1"/>
  <c r="AL35" i="4"/>
  <c r="AF23" i="4"/>
  <c r="AL23" i="4" s="1"/>
  <c r="AF24" i="4"/>
  <c r="AL24" i="4" s="1"/>
  <c r="AF25" i="4"/>
  <c r="AL25" i="4" s="1"/>
  <c r="AF26" i="4"/>
  <c r="AL26" i="4" s="1"/>
  <c r="AF27" i="4"/>
  <c r="AL27" i="4" s="1"/>
  <c r="AF28" i="4"/>
  <c r="AL28" i="4" s="1"/>
  <c r="AF29" i="4"/>
  <c r="AL29" i="4" s="1"/>
  <c r="AF30" i="4"/>
  <c r="AL30" i="4" s="1"/>
  <c r="AF31" i="4"/>
  <c r="AL31" i="4" s="1"/>
  <c r="AF32" i="4"/>
  <c r="AL32" i="4" s="1"/>
  <c r="AF33" i="4"/>
  <c r="AL33" i="4" s="1"/>
  <c r="AE34" i="4"/>
  <c r="AK34" i="4" s="1"/>
  <c r="AG34" i="11" l="1"/>
  <c r="AK34" i="11"/>
  <c r="E103" i="11"/>
  <c r="J103" i="11" s="1"/>
  <c r="AJ27" i="11"/>
  <c r="D96" i="11"/>
  <c r="I96" i="11" s="1"/>
  <c r="AJ21" i="11"/>
  <c r="D90" i="11"/>
  <c r="I90" i="11" s="1"/>
  <c r="AJ26" i="11"/>
  <c r="D95" i="11"/>
  <c r="I95" i="11" s="1"/>
  <c r="AJ32" i="11"/>
  <c r="D101" i="11"/>
  <c r="I101" i="11" s="1"/>
  <c r="AJ24" i="11"/>
  <c r="D93" i="11"/>
  <c r="I93" i="11" s="1"/>
  <c r="AJ29" i="11"/>
  <c r="D98" i="11"/>
  <c r="I98" i="11" s="1"/>
  <c r="AJ25" i="11"/>
  <c r="D94" i="11"/>
  <c r="I94" i="11" s="1"/>
  <c r="AJ31" i="11"/>
  <c r="D100" i="11"/>
  <c r="I100" i="11" s="1"/>
  <c r="AJ23" i="11"/>
  <c r="D92" i="11"/>
  <c r="I92" i="11" s="1"/>
  <c r="AJ28" i="11"/>
  <c r="D97" i="11"/>
  <c r="I97" i="11" s="1"/>
  <c r="AJ33" i="11"/>
  <c r="D102" i="11"/>
  <c r="I102" i="11" s="1"/>
  <c r="AM34" i="11"/>
  <c r="G103" i="11"/>
  <c r="L103" i="11" s="1"/>
  <c r="AF34" i="11"/>
  <c r="AJ30" i="11"/>
  <c r="D99" i="11"/>
  <c r="I99" i="11" s="1"/>
  <c r="AJ22" i="11"/>
  <c r="D91" i="11"/>
  <c r="I91" i="11" s="1"/>
  <c r="AJ34" i="11"/>
  <c r="D103" i="11"/>
  <c r="I103" i="11" s="1"/>
  <c r="AE34" i="10"/>
  <c r="AK34" i="10" s="1"/>
  <c r="L37" i="10"/>
  <c r="AE21" i="10"/>
  <c r="AK21" i="10" s="1"/>
  <c r="AK35" i="10"/>
  <c r="AE22" i="10"/>
  <c r="AK22" i="10" s="1"/>
  <c r="AE23" i="10"/>
  <c r="AK23" i="10" s="1"/>
  <c r="AE24" i="10"/>
  <c r="AK24" i="10" s="1"/>
  <c r="AE25" i="10"/>
  <c r="AK25" i="10" s="1"/>
  <c r="AE26" i="10"/>
  <c r="AK26" i="10" s="1"/>
  <c r="AE27" i="10"/>
  <c r="AK27" i="10" s="1"/>
  <c r="AE28" i="10"/>
  <c r="AK28" i="10" s="1"/>
  <c r="AE29" i="10"/>
  <c r="AK29" i="10" s="1"/>
  <c r="AE30" i="10"/>
  <c r="AK30" i="10" s="1"/>
  <c r="AE31" i="10"/>
  <c r="AK31" i="10" s="1"/>
  <c r="AE32" i="10"/>
  <c r="AK32" i="10" s="1"/>
  <c r="AE33" i="10"/>
  <c r="AK33" i="10" s="1"/>
  <c r="AF34" i="10"/>
  <c r="AL34" i="10" s="1"/>
  <c r="M37" i="10"/>
  <c r="AF22" i="10"/>
  <c r="AL22" i="10" s="1"/>
  <c r="AL35" i="10"/>
  <c r="AF21" i="10"/>
  <c r="AL21" i="10" s="1"/>
  <c r="AF23" i="10"/>
  <c r="AL23" i="10" s="1"/>
  <c r="AF24" i="10"/>
  <c r="AL24" i="10" s="1"/>
  <c r="AF25" i="10"/>
  <c r="AL25" i="10" s="1"/>
  <c r="AF26" i="10"/>
  <c r="AL26" i="10" s="1"/>
  <c r="AF27" i="10"/>
  <c r="AL27" i="10" s="1"/>
  <c r="AF28" i="10"/>
  <c r="AL28" i="10" s="1"/>
  <c r="AF29" i="10"/>
  <c r="AL29" i="10" s="1"/>
  <c r="AF30" i="10"/>
  <c r="AL30" i="10" s="1"/>
  <c r="AF31" i="10"/>
  <c r="AL31" i="10" s="1"/>
  <c r="AF32" i="10"/>
  <c r="AL32" i="10" s="1"/>
  <c r="AF33" i="10"/>
  <c r="AL33" i="10" s="1"/>
  <c r="AG34" i="10"/>
  <c r="AM34" i="10" s="1"/>
  <c r="AG22" i="10"/>
  <c r="AM22" i="10" s="1"/>
  <c r="AG21" i="10"/>
  <c r="AM21" i="10" s="1"/>
  <c r="AM35" i="10"/>
  <c r="AG23" i="10"/>
  <c r="AM23" i="10" s="1"/>
  <c r="AG24" i="10"/>
  <c r="AM24" i="10" s="1"/>
  <c r="AG25" i="10"/>
  <c r="AM25" i="10" s="1"/>
  <c r="AG26" i="10"/>
  <c r="AM26" i="10" s="1"/>
  <c r="AG27" i="10"/>
  <c r="AM27" i="10" s="1"/>
  <c r="AG28" i="10"/>
  <c r="AM28" i="10" s="1"/>
  <c r="AG29" i="10"/>
  <c r="AM29" i="10" s="1"/>
  <c r="AG30" i="10"/>
  <c r="AM30" i="10" s="1"/>
  <c r="AG31" i="10"/>
  <c r="AM31" i="10" s="1"/>
  <c r="AG32" i="10"/>
  <c r="AM32" i="10" s="1"/>
  <c r="AG33" i="10"/>
  <c r="AM33" i="10" s="1"/>
  <c r="L37" i="11"/>
  <c r="AK35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M37" i="11"/>
  <c r="AL35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G21" i="11"/>
  <c r="AM35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M29" i="11" l="1"/>
  <c r="G98" i="11"/>
  <c r="L98" i="11" s="1"/>
  <c r="AL26" i="11"/>
  <c r="F95" i="11"/>
  <c r="K95" i="11" s="1"/>
  <c r="AK25" i="11"/>
  <c r="E94" i="11"/>
  <c r="J94" i="11" s="1"/>
  <c r="AM27" i="11"/>
  <c r="G96" i="11"/>
  <c r="L96" i="11" s="1"/>
  <c r="AL33" i="11"/>
  <c r="F102" i="11"/>
  <c r="K102" i="11" s="1"/>
  <c r="AL25" i="11"/>
  <c r="F94" i="11"/>
  <c r="K94" i="11" s="1"/>
  <c r="AK32" i="11"/>
  <c r="E101" i="11"/>
  <c r="J101" i="11" s="1"/>
  <c r="AK24" i="11"/>
  <c r="E93" i="11"/>
  <c r="J93" i="11" s="1"/>
  <c r="AK26" i="11"/>
  <c r="E95" i="11"/>
  <c r="J95" i="11" s="1"/>
  <c r="AM21" i="11"/>
  <c r="G90" i="11"/>
  <c r="L90" i="11" s="1"/>
  <c r="AK33" i="11"/>
  <c r="E102" i="11"/>
  <c r="J102" i="11" s="1"/>
  <c r="AM26" i="11"/>
  <c r="G95" i="11"/>
  <c r="L95" i="11" s="1"/>
  <c r="AL32" i="11"/>
  <c r="F101" i="11"/>
  <c r="K101" i="11" s="1"/>
  <c r="AL24" i="11"/>
  <c r="F93" i="11"/>
  <c r="K93" i="11" s="1"/>
  <c r="AK31" i="11"/>
  <c r="E100" i="11"/>
  <c r="J100" i="11" s="1"/>
  <c r="AK23" i="11"/>
  <c r="E92" i="11"/>
  <c r="J92" i="11" s="1"/>
  <c r="AM33" i="11"/>
  <c r="G102" i="11"/>
  <c r="L102" i="11" s="1"/>
  <c r="AK30" i="11"/>
  <c r="E99" i="11"/>
  <c r="J99" i="11" s="1"/>
  <c r="AM32" i="11"/>
  <c r="G101" i="11"/>
  <c r="L101" i="11" s="1"/>
  <c r="AM24" i="11"/>
  <c r="G93" i="11"/>
  <c r="L93" i="11" s="1"/>
  <c r="AL30" i="11"/>
  <c r="F99" i="11"/>
  <c r="K99" i="11" s="1"/>
  <c r="AL22" i="11"/>
  <c r="F91" i="11"/>
  <c r="K91" i="11" s="1"/>
  <c r="AK29" i="11"/>
  <c r="E98" i="11"/>
  <c r="J98" i="11" s="1"/>
  <c r="AK21" i="11"/>
  <c r="E90" i="11"/>
  <c r="J90" i="11" s="1"/>
  <c r="AL34" i="11"/>
  <c r="F103" i="11"/>
  <c r="K103" i="11" s="1"/>
  <c r="AM28" i="11"/>
  <c r="G97" i="11"/>
  <c r="L97" i="11" s="1"/>
  <c r="AM25" i="11"/>
  <c r="G94" i="11"/>
  <c r="L94" i="11" s="1"/>
  <c r="AL23" i="11"/>
  <c r="F92" i="11"/>
  <c r="K92" i="11" s="1"/>
  <c r="AM31" i="11"/>
  <c r="G100" i="11"/>
  <c r="L100" i="11" s="1"/>
  <c r="AM23" i="11"/>
  <c r="G92" i="11"/>
  <c r="L92" i="11" s="1"/>
  <c r="AL29" i="11"/>
  <c r="F98" i="11"/>
  <c r="K98" i="11" s="1"/>
  <c r="AL21" i="11"/>
  <c r="F90" i="11"/>
  <c r="K90" i="11" s="1"/>
  <c r="AK28" i="11"/>
  <c r="E97" i="11"/>
  <c r="J97" i="11" s="1"/>
  <c r="AL27" i="11"/>
  <c r="F96" i="11"/>
  <c r="K96" i="11" s="1"/>
  <c r="AL31" i="11"/>
  <c r="F100" i="11"/>
  <c r="K100" i="11" s="1"/>
  <c r="AK22" i="11"/>
  <c r="E91" i="11"/>
  <c r="J91" i="11" s="1"/>
  <c r="AM30" i="11"/>
  <c r="G99" i="11"/>
  <c r="L99" i="11" s="1"/>
  <c r="AM22" i="11"/>
  <c r="G91" i="11"/>
  <c r="L91" i="11" s="1"/>
  <c r="AL28" i="11"/>
  <c r="F97" i="11"/>
  <c r="K97" i="11" s="1"/>
  <c r="AK27" i="11"/>
  <c r="E96" i="11"/>
  <c r="J96" i="11" s="1"/>
  <c r="B35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<sst xmlns="http://schemas.openxmlformats.org/spreadsheetml/2006/main" count="1288" uniqueCount="319">
  <si>
    <t>Meta Data</t>
  </si>
  <si>
    <t>Vehicle Type</t>
  </si>
  <si>
    <t>Sleep Cab</t>
  </si>
  <si>
    <t>Model Year</t>
  </si>
  <si>
    <t>Vehcle</t>
  </si>
  <si>
    <t>Vehicle Powertrain Type</t>
  </si>
  <si>
    <t>Drag Coefficient</t>
  </si>
  <si>
    <t>frontal Area (m^2)</t>
  </si>
  <si>
    <t>Vehicle glider mass (kg)</t>
  </si>
  <si>
    <t>Vehicle center of gravity height (m)</t>
  </si>
  <si>
    <t>Drive axle weight fraction</t>
  </si>
  <si>
    <t>Wheel base (m)</t>
  </si>
  <si>
    <t>Cargo mass (kg)</t>
  </si>
  <si>
    <t>Vehicle override test mass (kg)</t>
  </si>
  <si>
    <t>Fuel / Fuel Converter</t>
  </si>
  <si>
    <t>Fuel storage power (kW)</t>
  </si>
  <si>
    <t>Fuel storage time to full power (s)</t>
  </si>
  <si>
    <t>Fuel storage energy (kWh)</t>
  </si>
  <si>
    <t>Fuel and fuel storage mass (kWh/kg)</t>
  </si>
  <si>
    <t>Fuel converter power (kW)</t>
  </si>
  <si>
    <t>Fuel converter efficiency type</t>
  </si>
  <si>
    <t>Power out (%)</t>
  </si>
  <si>
    <t>Efficiency improvement</t>
  </si>
  <si>
    <t>Fuel converter time to full power (s)</t>
  </si>
  <si>
    <t>Fuel converter base mass (kg)</t>
  </si>
  <si>
    <t>Fuel converter specific power (kW/kg)</t>
  </si>
  <si>
    <t>Wheels</t>
  </si>
  <si>
    <t>Wheel inertia (one wheel) (kg*m^2)</t>
  </si>
  <si>
    <t>Number of wheels</t>
  </si>
  <si>
    <t>Rolling resistance coefficient</t>
  </si>
  <si>
    <t>Tire radius (m)</t>
  </si>
  <si>
    <t>Wheel coefficient of friction</t>
  </si>
  <si>
    <t>Misc.</t>
  </si>
  <si>
    <t>Alternator efficiency (conv. veh only)</t>
  </si>
  <si>
    <t>Charger efficiency</t>
  </si>
  <si>
    <t>Auxiliary loads (kW)</t>
  </si>
  <si>
    <t>Force auxiliary loads on fuel converter (true/false)</t>
  </si>
  <si>
    <t>Transmission mass (kg)</t>
  </si>
  <si>
    <t>Transmission efficiency</t>
  </si>
  <si>
    <t>Component mass multiplier</t>
  </si>
  <si>
    <t>Max battery to fuel energy error</t>
  </si>
  <si>
    <t>Max regen</t>
  </si>
  <si>
    <t xml:space="preserve">Powertrain </t>
  </si>
  <si>
    <t>Case</t>
  </si>
  <si>
    <t>Program Success</t>
  </si>
  <si>
    <t>Options</t>
  </si>
  <si>
    <t>Type</t>
  </si>
  <si>
    <t>SI</t>
  </si>
  <si>
    <t>Diesel - HD ISM Scaled 3</t>
  </si>
  <si>
    <t>Diesel</t>
  </si>
  <si>
    <t>Fuel Cell</t>
  </si>
  <si>
    <t>Hybrid Diesel</t>
  </si>
  <si>
    <t>Diesel - HD</t>
  </si>
  <si>
    <t>Diesel - HD ISM Scaled</t>
  </si>
  <si>
    <t>Diesel - HD ISM Scaled 2</t>
  </si>
  <si>
    <t>CNG</t>
  </si>
  <si>
    <t>Motor</t>
  </si>
  <si>
    <t>Motor power (kW)</t>
  </si>
  <si>
    <t>Motor peak efficiency</t>
  </si>
  <si>
    <t>Motor time to full power (s)</t>
  </si>
  <si>
    <t>Motor controller mass (kg/kW)</t>
  </si>
  <si>
    <t>Motor controller base mass (kg)</t>
  </si>
  <si>
    <t>Traction Battery</t>
  </si>
  <si>
    <t>Battery power (kW)</t>
  </si>
  <si>
    <t>Battery energy (kWh)</t>
  </si>
  <si>
    <t>Battery mass (kg/kWh)</t>
  </si>
  <si>
    <t>Battery base mass (kg)</t>
  </si>
  <si>
    <t>Battery round trip efficiency</t>
  </si>
  <si>
    <t>Battery life coefficient A (product)</t>
  </si>
  <si>
    <t>Battery life coefficient B (power)</t>
  </si>
  <si>
    <t>Energy Management</t>
  </si>
  <si>
    <t>Minimum state of charge</t>
  </si>
  <si>
    <t>Maximum state of charge</t>
  </si>
  <si>
    <t>ESS discharge effort toward max FC efficiency (percent)</t>
  </si>
  <si>
    <t>ESS charge effort toward max FC efficiency (percent)</t>
  </si>
  <si>
    <t>Speed where the battery reserved for accelerating is zero</t>
  </si>
  <si>
    <t>Percent of usable battery energy reserved to help accelerate</t>
  </si>
  <si>
    <t>Percent SOC buffer for high accessory loads during cycles with long idle time</t>
  </si>
  <si>
    <t>Speed at which engine is commanded on (mph)</t>
  </si>
  <si>
    <t>Power demand at which engine is commanded on (kW)</t>
  </si>
  <si>
    <t>BEV</t>
  </si>
  <si>
    <t>EPA rural</t>
  </si>
  <si>
    <t>EPA urban</t>
  </si>
  <si>
    <t>EPA transient</t>
  </si>
  <si>
    <t>composite</t>
  </si>
  <si>
    <t>High Loof</t>
  </si>
  <si>
    <t>HEV</t>
  </si>
  <si>
    <t>VSRP ($)</t>
  </si>
  <si>
    <t>Air density (kg/m3)</t>
  </si>
  <si>
    <t>gravity</t>
  </si>
  <si>
    <t>MPH/mps</t>
  </si>
  <si>
    <t>H2 kWh/kg</t>
  </si>
  <si>
    <t>kWh/GGE</t>
  </si>
  <si>
    <t>EPA</t>
  </si>
  <si>
    <t>kWh per gallon diesel</t>
  </si>
  <si>
    <t>https://www.afdc.energy.gov/afdc/prep/popups/gges.html</t>
  </si>
  <si>
    <t>meters/mile</t>
  </si>
  <si>
    <t>inches/meter</t>
  </si>
  <si>
    <t>Gasoline kWh/kg</t>
  </si>
  <si>
    <t>http://en.wikipedia.org/wiki/Energy_density</t>
  </si>
  <si>
    <t>Diesel kWh/kg</t>
  </si>
  <si>
    <t>Max EPA adjustment</t>
  </si>
  <si>
    <t>Liters per gallon</t>
  </si>
  <si>
    <t>Max regen energy (kWh)</t>
  </si>
  <si>
    <t>Drving Range (mile) - EPA rural</t>
  </si>
  <si>
    <t>Drving Range (mile) - EPA urban</t>
  </si>
  <si>
    <t>Drving Range (mile) - EPA tranient</t>
  </si>
  <si>
    <t>Drving Range (mile) - composite</t>
  </si>
  <si>
    <t>ESS</t>
  </si>
  <si>
    <t>PEEM</t>
  </si>
  <si>
    <t>Price</t>
  </si>
  <si>
    <t>Total Weight (kg)</t>
  </si>
  <si>
    <t>NA</t>
  </si>
  <si>
    <t>Simulated mpg</t>
  </si>
  <si>
    <t>Class 8 HR Sleeper</t>
  </si>
  <si>
    <t>Conv</t>
  </si>
  <si>
    <t>FCEV</t>
  </si>
  <si>
    <t>PHEV</t>
  </si>
  <si>
    <t>CS</t>
  </si>
  <si>
    <t>CD</t>
  </si>
  <si>
    <t>kWh/dge, EPA MOVES</t>
  </si>
  <si>
    <t>GEM model uses MOVES values for fuel heat content. See https://nepis.epa.gov/Exe/ZyPDF.cgi?Dockey=P100NNUQ.pdf#page=24</t>
  </si>
  <si>
    <t>adjusted for EPA kWh/gal</t>
  </si>
  <si>
    <t>error</t>
  </si>
  <si>
    <t>standard</t>
  </si>
  <si>
    <t>EIA Diesel HHV, Btu/gal</t>
  </si>
  <si>
    <t>EIA Diesel HHV, kWh/gal</t>
  </si>
  <si>
    <t>Wh/Btu</t>
  </si>
  <si>
    <t>Conversion, GEM to EIA</t>
  </si>
  <si>
    <t>** but EIA applied them without adjusting to hhv…</t>
  </si>
  <si>
    <t>conversion, FASTSim to GEM</t>
  </si>
  <si>
    <t>Baseline</t>
  </si>
  <si>
    <t>Class 8 Sleeper</t>
  </si>
  <si>
    <t>Input mpg</t>
  </si>
  <si>
    <t>Adv Conv</t>
  </si>
  <si>
    <t>HR Standard</t>
  </si>
  <si>
    <t>Simulated Cost</t>
  </si>
  <si>
    <t>e-Range</t>
  </si>
  <si>
    <t>glider</t>
  </si>
  <si>
    <t>Crr</t>
  </si>
  <si>
    <t>mass redux</t>
  </si>
  <si>
    <t>Engine</t>
  </si>
  <si>
    <t>Peak effy</t>
  </si>
  <si>
    <t>Accessories</t>
  </si>
  <si>
    <t>Transmission / drivetrain</t>
  </si>
  <si>
    <t>A0</t>
  </si>
  <si>
    <t>r</t>
  </si>
  <si>
    <t>A0_low</t>
  </si>
  <si>
    <t>R_low</t>
  </si>
  <si>
    <t>A0_mid</t>
  </si>
  <si>
    <t>r_mid</t>
  </si>
  <si>
    <t>A0_high</t>
  </si>
  <si>
    <t>r_high</t>
  </si>
  <si>
    <t>Aero exponential cost model</t>
  </si>
  <si>
    <t>c7 day low</t>
  </si>
  <si>
    <t>c7 day mid</t>
  </si>
  <si>
    <t>c7 day high</t>
  </si>
  <si>
    <t>c8 day low</t>
  </si>
  <si>
    <t>c8 day mid</t>
  </si>
  <si>
    <t>c8 day high</t>
  </si>
  <si>
    <t>c8 sleep low</t>
  </si>
  <si>
    <t>c8 sleep mid</t>
  </si>
  <si>
    <t>c8 sleep high</t>
  </si>
  <si>
    <t>Cd0_2010</t>
  </si>
  <si>
    <t>Coefficients derived for 2010 baseline</t>
  </si>
  <si>
    <t>Low</t>
  </si>
  <si>
    <t>Mid</t>
  </si>
  <si>
    <t>High</t>
  </si>
  <si>
    <t>del_2017</t>
  </si>
  <si>
    <t>cost = A0*exp(r*(%change_in_Cd))-cost_2017</t>
  </si>
  <si>
    <t>Cd_2017</t>
  </si>
  <si>
    <t>Cost_2017_low</t>
  </si>
  <si>
    <t>Cost_2017_mid</t>
  </si>
  <si>
    <t>Cost_2017_high</t>
  </si>
  <si>
    <t>Aero cost cases</t>
  </si>
  <si>
    <t>cost curve</t>
  </si>
  <si>
    <t>Cd</t>
  </si>
  <si>
    <t>base</t>
  </si>
  <si>
    <t>cost_2017</t>
  </si>
  <si>
    <t>Cost, 2010 estimate, no learning</t>
  </si>
  <si>
    <t>voc c2b-5</t>
  </si>
  <si>
    <t>voc c6-7</t>
  </si>
  <si>
    <t>voc c8</t>
  </si>
  <si>
    <t>% improvement relative to 2010</t>
  </si>
  <si>
    <t>...alternatives 1a and 3 where 1a represents the reference case (or the “no action” case) and 3 represents the preferred policy case (i.e. the standards adopted in this final rule).</t>
  </si>
  <si>
    <t>high roof sleeper</t>
  </si>
  <si>
    <t>tractors/trailers</t>
  </si>
  <si>
    <t>cost relative to 2017 (no phase 2 standards)</t>
  </si>
  <si>
    <t>use for baseline</t>
  </si>
  <si>
    <t>reduced 1% per yr since 2010</t>
  </si>
  <si>
    <t>incremental cost</t>
  </si>
  <si>
    <t>??</t>
  </si>
  <si>
    <t>s curve for interpolation</t>
  </si>
  <si>
    <t>1/(1+EXP(-(x-k1)/k2))</t>
  </si>
  <si>
    <t>k1</t>
  </si>
  <si>
    <t>k2</t>
  </si>
  <si>
    <t>value of x for half saturation</t>
  </si>
  <si>
    <t>rate / steepness of S</t>
  </si>
  <si>
    <t>t_0</t>
  </si>
  <si>
    <t>t_f</t>
  </si>
  <si>
    <t>interp coef</t>
  </si>
  <si>
    <t>baseline</t>
  </si>
  <si>
    <t>half sat</t>
  </si>
  <si>
    <t>rate</t>
  </si>
  <si>
    <t>Sleeper</t>
  </si>
  <si>
    <t>Std</t>
  </si>
  <si>
    <t>Conventional</t>
  </si>
  <si>
    <t>Day Cab</t>
  </si>
  <si>
    <t>C8 box truck</t>
  </si>
  <si>
    <t>-</t>
  </si>
  <si>
    <t>C6 box truck</t>
  </si>
  <si>
    <t>High Roof</t>
  </si>
  <si>
    <t>Heavy Vocational</t>
  </si>
  <si>
    <t>Total cost</t>
  </si>
  <si>
    <t>Aero &amp; tires</t>
  </si>
  <si>
    <t>Lightweighting</t>
  </si>
  <si>
    <t>Drivetrain</t>
  </si>
  <si>
    <t>Powetrain (engine + tran)</t>
  </si>
  <si>
    <t>2021 baseline cost</t>
  </si>
  <si>
    <t>cost relative to 2021</t>
  </si>
  <si>
    <t>Powetrain efficiency (engine + tran)</t>
  </si>
  <si>
    <t>Other</t>
  </si>
  <si>
    <t>incr $ / gal fuel saved</t>
  </si>
  <si>
    <t>Class 8 HR Day</t>
  </si>
  <si>
    <t>pd1: 2021-2027</t>
  </si>
  <si>
    <t>pd2: 2027-2035</t>
  </si>
  <si>
    <t>pd3: 2035-2050</t>
  </si>
  <si>
    <t>Composite mpg</t>
  </si>
  <si>
    <t>Heavy</t>
  </si>
  <si>
    <t>Medium</t>
  </si>
  <si>
    <t>Light</t>
  </si>
  <si>
    <t>regional</t>
  </si>
  <si>
    <t>multi</t>
  </si>
  <si>
    <t>urban</t>
  </si>
  <si>
    <t>EPA dist by seg, all vocational</t>
  </si>
  <si>
    <t>class 8</t>
  </si>
  <si>
    <t>class 6-7</t>
  </si>
  <si>
    <t>class 4-5</t>
  </si>
  <si>
    <t>vocatonal cycle weightings by class and segment</t>
  </si>
  <si>
    <t>dist within class</t>
  </si>
  <si>
    <t>mkt share</t>
  </si>
  <si>
    <t>cycle weights</t>
  </si>
  <si>
    <t>Phase 1</t>
  </si>
  <si>
    <t>Phase 2</t>
  </si>
  <si>
    <t>Class</t>
  </si>
  <si>
    <t>cargo weight</t>
  </si>
  <si>
    <t>p2/p1</t>
  </si>
  <si>
    <t>Tractors</t>
  </si>
  <si>
    <t>new base</t>
  </si>
  <si>
    <t>Class 8 sleeper cab</t>
  </si>
  <si>
    <t>low roof</t>
  </si>
  <si>
    <t>mid roof</t>
  </si>
  <si>
    <t>high roof</t>
  </si>
  <si>
    <t>Class 8 day cab</t>
  </si>
  <si>
    <t>Class 7 day cab</t>
  </si>
  <si>
    <t>Heavy Haul</t>
  </si>
  <si>
    <t>Vocational</t>
  </si>
  <si>
    <t>Class 8</t>
  </si>
  <si>
    <t>Urban</t>
  </si>
  <si>
    <t>Multi-purpose</t>
  </si>
  <si>
    <t>Regional</t>
  </si>
  <si>
    <t>Class 6-7</t>
  </si>
  <si>
    <t>Class 2b-5</t>
  </si>
  <si>
    <t>Fuel consumption standards, equivalent fuel economy</t>
  </si>
  <si>
    <t>EIA shares</t>
  </si>
  <si>
    <t>&lt;&lt; Note this does not match EPA assumptions</t>
  </si>
  <si>
    <t>7&amp;8 Day</t>
  </si>
  <si>
    <t>class 4-5 only</t>
  </si>
  <si>
    <t>EPA shares</t>
  </si>
  <si>
    <t>class 7&amp;8 voc</t>
  </si>
  <si>
    <t>class 4-6 voc</t>
  </si>
  <si>
    <t>assume 50/50 split 6/7</t>
  </si>
  <si>
    <t>assume 50/50 split 4/5</t>
  </si>
  <si>
    <t>class 8 standard</t>
  </si>
  <si>
    <t>7&amp;8 day</t>
  </si>
  <si>
    <t>drive idle</t>
  </si>
  <si>
    <t>parked idle</t>
  </si>
  <si>
    <t>without idle</t>
  </si>
  <si>
    <t>with idle</t>
  </si>
  <si>
    <t>mph</t>
  </si>
  <si>
    <t>driving</t>
  </si>
  <si>
    <t>dr idle</t>
  </si>
  <si>
    <t>park idle</t>
  </si>
  <si>
    <t>% of time</t>
  </si>
  <si>
    <t>comb mph</t>
  </si>
  <si>
    <t>&lt;&lt; idle fuel rate, gal/hr</t>
  </si>
  <si>
    <t>kWh/mi</t>
  </si>
  <si>
    <t>mpg for input</t>
  </si>
  <si>
    <t>note BEV is in kWh/mi instead of mpg</t>
  </si>
  <si>
    <t>&lt;&lt; from Chen</t>
  </si>
  <si>
    <t>error rel to std</t>
  </si>
  <si>
    <t>no idle on BEV</t>
  </si>
  <si>
    <t>no idle on HEV</t>
  </si>
  <si>
    <t>no idle on FCEV</t>
  </si>
  <si>
    <t>2027+</t>
  </si>
  <si>
    <t>class 6-7 standard</t>
  </si>
  <si>
    <t>Class 8 Box</t>
  </si>
  <si>
    <t>Class 7&amp;8 Day</t>
  </si>
  <si>
    <t>Class 7&amp;8 Voc</t>
  </si>
  <si>
    <t>Class 6 Box</t>
  </si>
  <si>
    <t>Class 4-6 Voc</t>
  </si>
  <si>
    <t>class 4-6</t>
  </si>
  <si>
    <t>Class 6 voc std</t>
  </si>
  <si>
    <t>Class 8 Voc std</t>
  </si>
  <si>
    <t>class 7&amp;8 Voc</t>
  </si>
  <si>
    <t>Cost (incremental for non-base)</t>
  </si>
  <si>
    <t>Subsidy</t>
  </si>
  <si>
    <t>Fuel Economy - Fuel 1 (mpgde)</t>
  </si>
  <si>
    <t>Fuel Economy - Fuel 2 (mpgde)</t>
  </si>
  <si>
    <t>Charge Depletion (CD) Range</t>
  </si>
  <si>
    <t>Tech Opt</t>
  </si>
  <si>
    <t>Base</t>
  </si>
  <si>
    <t>A</t>
  </si>
  <si>
    <t>B</t>
  </si>
  <si>
    <t>C</t>
  </si>
  <si>
    <t>D</t>
  </si>
  <si>
    <t>E</t>
  </si>
  <si>
    <t>Year</t>
  </si>
  <si>
    <t>To avoid overwriting formulas, only copy yellow shaded cells; paste in as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</si>
</sst>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164" formatCode="0.000"/>
    <numFmt numFmtId="165" formatCode="&quot;$&quot;#,##0"/>
    <numFmt numFmtId="166" formatCode="0.0%"/>
    <numFmt numFmtId="167" formatCode="0.0000"/>
    <numFmt numFmtId="168" formatCode="&quot;$&quot;#,##0.0000"/>
    <numFmt numFmtId="169" formatCode="&quot;$&quot;#,##0.000"/>
    <numFmt numFmtId="170" formatCode="#,##0.0000"/>
    <numFmt numFmtId="171" formatCode="#,##0.000"/>
  </numFmts>
  <fonts count="3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3F3F76"/>
      <name val="Arial"/>
      <family val="2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10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9" fontId="2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400">
    <xf numFmtId="0" fontId="0" fillId="0" borderId="0" xfId="0"/>
    <xf numFmtId="0" fontId="0" fillId="0" borderId="0" xfId="0" applyAlignment="1">
      <alignment horizontal="right"/>
    </xf>
    <xf numFmtId="9" fontId="20" fillId="5" borderId="10" xfId="42" applyFont="1" applyFill="1" applyBorder="1"/>
    <xf numFmtId="0" fontId="0" fillId="0" borderId="0" xfId="0" applyBorder="1"/>
    <xf numFmtId="0" fontId="0" fillId="0" borderId="0" xfId="0" applyBorder="1" applyAlignment="1">
      <alignment horizontal="left" vertical="center"/>
    </xf>
    <xf numFmtId="9" fontId="0" fillId="0" borderId="0" xfId="0" applyNumberFormat="1" applyBorder="1"/>
    <xf numFmtId="10" fontId="0" fillId="0" borderId="0" xfId="0" applyNumberFormat="1" applyBorder="1"/>
    <xf numFmtId="0" fontId="0" fillId="0" borderId="0" xfId="0" applyBorder="1" applyAlignment="1">
      <alignment horizontal="left" vertical="top"/>
    </xf>
    <xf numFmtId="0" fontId="5" fillId="0" borderId="0" xfId="3" applyBorder="1"/>
    <xf numFmtId="0" fontId="19" fillId="0" borderId="10" xfId="0" applyFont="1" applyBorder="1"/>
    <xf numFmtId="9" fontId="20" fillId="5" borderId="10" xfId="43" applyFont="1" applyFill="1" applyBorder="1"/>
    <xf numFmtId="0" fontId="15" fillId="0" borderId="10" xfId="0" applyFont="1" applyBorder="1" applyAlignment="1">
      <alignment horizontal="left" vertical="center"/>
    </xf>
    <xf numFmtId="9" fontId="15" fillId="0" borderId="10" xfId="0" applyNumberFormat="1" applyFont="1" applyBorder="1"/>
    <xf numFmtId="10" fontId="15" fillId="0" borderId="10" xfId="0" applyNumberFormat="1" applyFont="1" applyBorder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36" borderId="10" xfId="0" applyFill="1" applyBorder="1"/>
    <xf numFmtId="166" fontId="0" fillId="0" borderId="0" xfId="42" applyNumberFormat="1" applyFont="1"/>
    <xf numFmtId="6" fontId="0" fillId="0" borderId="0" xfId="0" applyNumberFormat="1"/>
    <xf numFmtId="6" fontId="15" fillId="0" borderId="0" xfId="0" applyNumberFormat="1" applyFont="1"/>
    <xf numFmtId="0" fontId="0" fillId="0" borderId="0" xfId="0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right"/>
    </xf>
    <xf numFmtId="0" fontId="21" fillId="0" borderId="15" xfId="0" applyFont="1" applyBorder="1"/>
    <xf numFmtId="0" fontId="21" fillId="0" borderId="15" xfId="0" applyFont="1" applyBorder="1" applyAlignment="1">
      <alignment horizontal="right"/>
    </xf>
    <xf numFmtId="0" fontId="21" fillId="0" borderId="16" xfId="0" applyFont="1" applyBorder="1" applyAlignment="1">
      <alignment horizontal="right"/>
    </xf>
    <xf numFmtId="0" fontId="21" fillId="0" borderId="14" xfId="0" applyFont="1" applyBorder="1" applyAlignment="1">
      <alignment horizontal="right"/>
    </xf>
    <xf numFmtId="0" fontId="21" fillId="0" borderId="10" xfId="0" applyFont="1" applyBorder="1"/>
    <xf numFmtId="0" fontId="21" fillId="0" borderId="10" xfId="0" applyFont="1" applyBorder="1" applyAlignment="1">
      <alignment horizontal="right"/>
    </xf>
    <xf numFmtId="0" fontId="21" fillId="0" borderId="18" xfId="0" applyFont="1" applyBorder="1" applyAlignment="1">
      <alignment horizontal="right"/>
    </xf>
    <xf numFmtId="0" fontId="21" fillId="0" borderId="17" xfId="0" applyFont="1" applyBorder="1" applyAlignment="1">
      <alignment horizontal="right"/>
    </xf>
    <xf numFmtId="0" fontId="21" fillId="0" borderId="11" xfId="0" applyFont="1" applyBorder="1"/>
    <xf numFmtId="0" fontId="21" fillId="0" borderId="11" xfId="0" applyFont="1" applyBorder="1" applyAlignment="1">
      <alignment horizontal="right"/>
    </xf>
    <xf numFmtId="0" fontId="21" fillId="0" borderId="20" xfId="0" applyFont="1" applyBorder="1" applyAlignment="1">
      <alignment horizontal="right"/>
    </xf>
    <xf numFmtId="0" fontId="21" fillId="0" borderId="22" xfId="0" applyFont="1" applyBorder="1" applyAlignment="1">
      <alignment horizontal="right"/>
    </xf>
    <xf numFmtId="0" fontId="21" fillId="0" borderId="12" xfId="0" applyFont="1" applyBorder="1"/>
    <xf numFmtId="0" fontId="21" fillId="0" borderId="12" xfId="0" applyFont="1" applyBorder="1" applyAlignment="1">
      <alignment horizontal="right"/>
    </xf>
    <xf numFmtId="0" fontId="21" fillId="0" borderId="21" xfId="0" applyFont="1" applyBorder="1" applyAlignment="1">
      <alignment horizontal="right"/>
    </xf>
    <xf numFmtId="0" fontId="21" fillId="0" borderId="24" xfId="0" applyFont="1" applyBorder="1" applyAlignment="1">
      <alignment horizontal="right"/>
    </xf>
    <xf numFmtId="0" fontId="21" fillId="0" borderId="13" xfId="0" applyFont="1" applyBorder="1" applyAlignment="1">
      <alignment horizontal="right"/>
    </xf>
    <xf numFmtId="0" fontId="21" fillId="0" borderId="25" xfId="0" applyFont="1" applyBorder="1" applyAlignment="1">
      <alignment horizontal="right"/>
    </xf>
    <xf numFmtId="0" fontId="21" fillId="33" borderId="10" xfId="0" applyFont="1" applyFill="1" applyBorder="1"/>
    <xf numFmtId="0" fontId="21" fillId="33" borderId="10" xfId="0" applyFont="1" applyFill="1" applyBorder="1" applyAlignment="1">
      <alignment horizontal="right"/>
    </xf>
    <xf numFmtId="0" fontId="21" fillId="33" borderId="18" xfId="0" applyFont="1" applyFill="1" applyBorder="1" applyAlignment="1">
      <alignment horizontal="right"/>
    </xf>
    <xf numFmtId="0" fontId="21" fillId="33" borderId="17" xfId="0" applyFont="1" applyFill="1" applyBorder="1" applyAlignment="1">
      <alignment horizontal="right"/>
    </xf>
    <xf numFmtId="0" fontId="23" fillId="0" borderId="24" xfId="0" applyFont="1" applyBorder="1" applyAlignment="1">
      <alignment horizontal="right"/>
    </xf>
    <xf numFmtId="0" fontId="23" fillId="0" borderId="13" xfId="0" applyFont="1" applyBorder="1" applyAlignment="1">
      <alignment horizontal="right"/>
    </xf>
    <xf numFmtId="0" fontId="23" fillId="0" borderId="25" xfId="0" applyFont="1" applyBorder="1" applyAlignment="1">
      <alignment horizontal="right"/>
    </xf>
    <xf numFmtId="0" fontId="24" fillId="0" borderId="24" xfId="0" applyFont="1" applyBorder="1" applyAlignment="1">
      <alignment horizontal="right"/>
    </xf>
    <xf numFmtId="0" fontId="24" fillId="0" borderId="13" xfId="0" applyFont="1" applyBorder="1" applyAlignment="1">
      <alignment horizontal="right"/>
    </xf>
    <xf numFmtId="0" fontId="24" fillId="0" borderId="25" xfId="0" applyFont="1" applyBorder="1" applyAlignment="1">
      <alignment horizontal="right"/>
    </xf>
    <xf numFmtId="0" fontId="23" fillId="0" borderId="17" xfId="0" applyFont="1" applyBorder="1" applyAlignment="1">
      <alignment horizontal="right"/>
    </xf>
    <xf numFmtId="0" fontId="23" fillId="0" borderId="10" xfId="0" applyFont="1" applyBorder="1" applyAlignment="1">
      <alignment horizontal="right"/>
    </xf>
    <xf numFmtId="0" fontId="23" fillId="0" borderId="18" xfId="0" applyFont="1" applyBorder="1" applyAlignment="1">
      <alignment horizontal="right"/>
    </xf>
    <xf numFmtId="0" fontId="24" fillId="0" borderId="17" xfId="0" applyFont="1" applyBorder="1" applyAlignment="1">
      <alignment horizontal="right"/>
    </xf>
    <xf numFmtId="0" fontId="24" fillId="0" borderId="10" xfId="0" applyFont="1" applyBorder="1" applyAlignment="1">
      <alignment horizontal="right"/>
    </xf>
    <xf numFmtId="0" fontId="24" fillId="0" borderId="18" xfId="0" applyFont="1" applyBorder="1" applyAlignment="1">
      <alignment horizontal="right"/>
    </xf>
    <xf numFmtId="0" fontId="24" fillId="33" borderId="17" xfId="0" applyFont="1" applyFill="1" applyBorder="1" applyAlignment="1">
      <alignment horizontal="right"/>
    </xf>
    <xf numFmtId="0" fontId="24" fillId="33" borderId="10" xfId="0" applyFont="1" applyFill="1" applyBorder="1" applyAlignment="1">
      <alignment horizontal="right"/>
    </xf>
    <xf numFmtId="0" fontId="24" fillId="33" borderId="18" xfId="0" applyFont="1" applyFill="1" applyBorder="1" applyAlignment="1">
      <alignment horizontal="right"/>
    </xf>
    <xf numFmtId="0" fontId="25" fillId="0" borderId="17" xfId="0" applyFont="1" applyBorder="1" applyAlignment="1">
      <alignment horizontal="right"/>
    </xf>
    <xf numFmtId="0" fontId="25" fillId="0" borderId="10" xfId="0" applyFont="1" applyBorder="1" applyAlignment="1">
      <alignment horizontal="right"/>
    </xf>
    <xf numFmtId="0" fontId="25" fillId="0" borderId="18" xfId="0" applyFont="1" applyBorder="1" applyAlignment="1">
      <alignment horizontal="right"/>
    </xf>
    <xf numFmtId="9" fontId="21" fillId="33" borderId="10" xfId="0" applyNumberFormat="1" applyFont="1" applyFill="1" applyBorder="1" applyAlignment="1">
      <alignment horizontal="right"/>
    </xf>
    <xf numFmtId="9" fontId="21" fillId="33" borderId="18" xfId="0" applyNumberFormat="1" applyFont="1" applyFill="1" applyBorder="1" applyAlignment="1">
      <alignment horizontal="right"/>
    </xf>
    <xf numFmtId="9" fontId="21" fillId="0" borderId="0" xfId="0" applyNumberFormat="1" applyFont="1" applyAlignment="1">
      <alignment horizontal="right"/>
    </xf>
    <xf numFmtId="9" fontId="23" fillId="0" borderId="17" xfId="0" applyNumberFormat="1" applyFont="1" applyBorder="1" applyAlignment="1">
      <alignment horizontal="right"/>
    </xf>
    <xf numFmtId="9" fontId="23" fillId="0" borderId="10" xfId="0" applyNumberFormat="1" applyFont="1" applyBorder="1" applyAlignment="1">
      <alignment horizontal="right"/>
    </xf>
    <xf numFmtId="9" fontId="23" fillId="0" borderId="18" xfId="0" applyNumberFormat="1" applyFont="1" applyBorder="1" applyAlignment="1">
      <alignment horizontal="right"/>
    </xf>
    <xf numFmtId="9" fontId="24" fillId="33" borderId="17" xfId="0" applyNumberFormat="1" applyFont="1" applyFill="1" applyBorder="1" applyAlignment="1">
      <alignment horizontal="right"/>
    </xf>
    <xf numFmtId="9" fontId="24" fillId="33" borderId="10" xfId="0" applyNumberFormat="1" applyFont="1" applyFill="1" applyBorder="1" applyAlignment="1">
      <alignment horizontal="right"/>
    </xf>
    <xf numFmtId="9" fontId="24" fillId="33" borderId="18" xfId="0" applyNumberFormat="1" applyFont="1" applyFill="1" applyBorder="1" applyAlignment="1">
      <alignment horizontal="right"/>
    </xf>
    <xf numFmtId="0" fontId="23" fillId="0" borderId="22" xfId="0" applyFont="1" applyBorder="1" applyAlignment="1">
      <alignment horizontal="right"/>
    </xf>
    <xf numFmtId="0" fontId="23" fillId="0" borderId="11" xfId="0" applyFont="1" applyBorder="1" applyAlignment="1">
      <alignment horizontal="right"/>
    </xf>
    <xf numFmtId="0" fontId="23" fillId="0" borderId="20" xfId="0" applyFont="1" applyBorder="1" applyAlignment="1">
      <alignment horizontal="right"/>
    </xf>
    <xf numFmtId="0" fontId="24" fillId="0" borderId="22" xfId="0" applyFont="1" applyBorder="1" applyAlignment="1">
      <alignment horizontal="right"/>
    </xf>
    <xf numFmtId="0" fontId="24" fillId="0" borderId="11" xfId="0" applyFont="1" applyBorder="1" applyAlignment="1">
      <alignment horizontal="right"/>
    </xf>
    <xf numFmtId="0" fontId="24" fillId="0" borderId="20" xfId="0" applyFont="1" applyBorder="1" applyAlignment="1">
      <alignment horizontal="right"/>
    </xf>
    <xf numFmtId="0" fontId="24" fillId="0" borderId="13" xfId="0" applyFont="1" applyBorder="1"/>
    <xf numFmtId="0" fontId="25" fillId="0" borderId="13" xfId="0" applyFont="1" applyBorder="1" applyAlignment="1">
      <alignment horizontal="right"/>
    </xf>
    <xf numFmtId="0" fontId="25" fillId="0" borderId="25" xfId="0" applyFont="1" applyBorder="1" applyAlignment="1">
      <alignment horizontal="right"/>
    </xf>
    <xf numFmtId="0" fontId="25" fillId="0" borderId="0" xfId="0" applyFont="1" applyAlignment="1">
      <alignment horizontal="right"/>
    </xf>
    <xf numFmtId="0" fontId="24" fillId="33" borderId="24" xfId="0" applyFont="1" applyFill="1" applyBorder="1" applyAlignment="1">
      <alignment horizontal="right"/>
    </xf>
    <xf numFmtId="0" fontId="24" fillId="33" borderId="13" xfId="0" applyFont="1" applyFill="1" applyBorder="1" applyAlignment="1">
      <alignment horizontal="right"/>
    </xf>
    <xf numFmtId="0" fontId="24" fillId="33" borderId="25" xfId="0" applyFont="1" applyFill="1" applyBorder="1" applyAlignment="1">
      <alignment horizontal="right"/>
    </xf>
    <xf numFmtId="0" fontId="24" fillId="0" borderId="10" xfId="0" applyFont="1" applyBorder="1"/>
    <xf numFmtId="9" fontId="25" fillId="0" borderId="10" xfId="0" applyNumberFormat="1" applyFont="1" applyBorder="1" applyAlignment="1">
      <alignment horizontal="right"/>
    </xf>
    <xf numFmtId="9" fontId="25" fillId="0" borderId="18" xfId="0" applyNumberFormat="1" applyFont="1" applyBorder="1" applyAlignment="1">
      <alignment horizontal="right"/>
    </xf>
    <xf numFmtId="9" fontId="25" fillId="0" borderId="0" xfId="0" applyNumberFormat="1" applyFont="1" applyAlignment="1">
      <alignment horizontal="right"/>
    </xf>
    <xf numFmtId="0" fontId="24" fillId="0" borderId="11" xfId="0" applyFont="1" applyBorder="1"/>
    <xf numFmtId="0" fontId="25" fillId="0" borderId="11" xfId="0" applyFont="1" applyBorder="1" applyAlignment="1">
      <alignment horizontal="right"/>
    </xf>
    <xf numFmtId="0" fontId="25" fillId="0" borderId="20" xfId="0" applyFont="1" applyBorder="1" applyAlignment="1">
      <alignment horizontal="right"/>
    </xf>
    <xf numFmtId="10" fontId="25" fillId="0" borderId="10" xfId="0" applyNumberFormat="1" applyFont="1" applyBorder="1" applyAlignment="1">
      <alignment horizontal="right"/>
    </xf>
    <xf numFmtId="10" fontId="25" fillId="0" borderId="18" xfId="0" applyNumberFormat="1" applyFont="1" applyBorder="1" applyAlignment="1">
      <alignment horizontal="right"/>
    </xf>
    <xf numFmtId="10" fontId="25" fillId="0" borderId="0" xfId="0" applyNumberFormat="1" applyFont="1" applyAlignment="1">
      <alignment horizontal="right"/>
    </xf>
    <xf numFmtId="10" fontId="24" fillId="0" borderId="17" xfId="0" applyNumberFormat="1" applyFont="1" applyBorder="1" applyAlignment="1">
      <alignment horizontal="right"/>
    </xf>
    <xf numFmtId="10" fontId="24" fillId="0" borderId="10" xfId="0" applyNumberFormat="1" applyFont="1" applyBorder="1" applyAlignment="1">
      <alignment horizontal="right"/>
    </xf>
    <xf numFmtId="10" fontId="24" fillId="0" borderId="18" xfId="0" applyNumberFormat="1" applyFont="1" applyBorder="1" applyAlignment="1">
      <alignment horizontal="right"/>
    </xf>
    <xf numFmtId="0" fontId="21" fillId="0" borderId="13" xfId="0" applyFont="1" applyBorder="1"/>
    <xf numFmtId="9" fontId="25" fillId="0" borderId="13" xfId="0" applyNumberFormat="1" applyFont="1" applyBorder="1" applyAlignment="1">
      <alignment horizontal="right"/>
    </xf>
    <xf numFmtId="9" fontId="25" fillId="0" borderId="25" xfId="0" applyNumberFormat="1" applyFont="1" applyBorder="1" applyAlignment="1">
      <alignment horizontal="right"/>
    </xf>
    <xf numFmtId="9" fontId="24" fillId="0" borderId="24" xfId="0" applyNumberFormat="1" applyFont="1" applyBorder="1" applyAlignment="1">
      <alignment horizontal="right"/>
    </xf>
    <xf numFmtId="9" fontId="24" fillId="0" borderId="13" xfId="0" applyNumberFormat="1" applyFont="1" applyBorder="1" applyAlignment="1">
      <alignment horizontal="right"/>
    </xf>
    <xf numFmtId="9" fontId="24" fillId="0" borderId="25" xfId="0" applyNumberFormat="1" applyFont="1" applyBorder="1" applyAlignment="1">
      <alignment horizontal="right"/>
    </xf>
    <xf numFmtId="9" fontId="24" fillId="0" borderId="17" xfId="0" applyNumberFormat="1" applyFont="1" applyBorder="1" applyAlignment="1">
      <alignment horizontal="right"/>
    </xf>
    <xf numFmtId="9" fontId="24" fillId="0" borderId="10" xfId="0" applyNumberFormat="1" applyFont="1" applyBorder="1" applyAlignment="1">
      <alignment horizontal="right"/>
    </xf>
    <xf numFmtId="9" fontId="24" fillId="0" borderId="18" xfId="0" applyNumberFormat="1" applyFont="1" applyBorder="1" applyAlignment="1">
      <alignment horizontal="right"/>
    </xf>
    <xf numFmtId="9" fontId="21" fillId="0" borderId="13" xfId="0" applyNumberFormat="1" applyFont="1" applyBorder="1" applyAlignment="1">
      <alignment horizontal="right"/>
    </xf>
    <xf numFmtId="9" fontId="21" fillId="0" borderId="25" xfId="0" applyNumberFormat="1" applyFont="1" applyBorder="1" applyAlignment="1">
      <alignment horizontal="right"/>
    </xf>
    <xf numFmtId="9" fontId="21" fillId="0" borderId="23" xfId="0" applyNumberFormat="1" applyFont="1" applyBorder="1" applyAlignment="1">
      <alignment horizontal="right"/>
    </xf>
    <xf numFmtId="9" fontId="21" fillId="0" borderId="12" xfId="0" applyNumberFormat="1" applyFont="1" applyBorder="1" applyAlignment="1">
      <alignment horizontal="right"/>
    </xf>
    <xf numFmtId="9" fontId="21" fillId="0" borderId="21" xfId="0" applyNumberFormat="1" applyFont="1" applyBorder="1" applyAlignment="1">
      <alignment horizontal="right"/>
    </xf>
    <xf numFmtId="9" fontId="21" fillId="0" borderId="10" xfId="0" applyNumberFormat="1" applyFont="1" applyBorder="1" applyAlignment="1">
      <alignment horizontal="right"/>
    </xf>
    <xf numFmtId="9" fontId="21" fillId="0" borderId="18" xfId="0" applyNumberFormat="1" applyFont="1" applyBorder="1" applyAlignment="1">
      <alignment horizontal="right"/>
    </xf>
    <xf numFmtId="9" fontId="21" fillId="33" borderId="17" xfId="0" applyNumberFormat="1" applyFont="1" applyFill="1" applyBorder="1" applyAlignment="1">
      <alignment horizontal="right"/>
    </xf>
    <xf numFmtId="9" fontId="21" fillId="0" borderId="17" xfId="0" applyNumberFormat="1" applyFont="1" applyBorder="1" applyAlignment="1">
      <alignment horizontal="right"/>
    </xf>
    <xf numFmtId="166" fontId="21" fillId="33" borderId="10" xfId="0" applyNumberFormat="1" applyFont="1" applyFill="1" applyBorder="1" applyAlignment="1">
      <alignment horizontal="right"/>
    </xf>
    <xf numFmtId="166" fontId="24" fillId="33" borderId="10" xfId="0" applyNumberFormat="1" applyFont="1" applyFill="1" applyBorder="1" applyAlignment="1">
      <alignment horizontal="right"/>
    </xf>
    <xf numFmtId="166" fontId="24" fillId="33" borderId="18" xfId="0" applyNumberFormat="1" applyFont="1" applyFill="1" applyBorder="1" applyAlignment="1">
      <alignment horizontal="right"/>
    </xf>
    <xf numFmtId="166" fontId="21" fillId="33" borderId="17" xfId="0" applyNumberFormat="1" applyFont="1" applyFill="1" applyBorder="1" applyAlignment="1">
      <alignment horizontal="right"/>
    </xf>
    <xf numFmtId="10" fontId="21" fillId="0" borderId="10" xfId="0" applyNumberFormat="1" applyFont="1" applyBorder="1" applyAlignment="1">
      <alignment horizontal="right"/>
    </xf>
    <xf numFmtId="10" fontId="21" fillId="0" borderId="18" xfId="0" applyNumberFormat="1" applyFont="1" applyBorder="1" applyAlignment="1">
      <alignment horizontal="right"/>
    </xf>
    <xf numFmtId="10" fontId="21" fillId="0" borderId="0" xfId="0" applyNumberFormat="1" applyFont="1" applyAlignment="1">
      <alignment horizontal="right"/>
    </xf>
    <xf numFmtId="10" fontId="21" fillId="0" borderId="17" xfId="0" applyNumberFormat="1" applyFont="1" applyBorder="1" applyAlignment="1">
      <alignment horizontal="right"/>
    </xf>
    <xf numFmtId="0" fontId="21" fillId="0" borderId="27" xfId="0" applyFont="1" applyBorder="1"/>
    <xf numFmtId="9" fontId="21" fillId="0" borderId="27" xfId="0" applyNumberFormat="1" applyFont="1" applyBorder="1" applyAlignment="1">
      <alignment horizontal="right"/>
    </xf>
    <xf numFmtId="9" fontId="21" fillId="0" borderId="28" xfId="0" applyNumberFormat="1" applyFont="1" applyBorder="1" applyAlignment="1">
      <alignment horizontal="right"/>
    </xf>
    <xf numFmtId="9" fontId="21" fillId="0" borderId="26" xfId="0" applyNumberFormat="1" applyFont="1" applyBorder="1" applyAlignment="1">
      <alignment horizontal="right"/>
    </xf>
    <xf numFmtId="9" fontId="24" fillId="0" borderId="26" xfId="0" applyNumberFormat="1" applyFont="1" applyBorder="1" applyAlignment="1">
      <alignment horizontal="right"/>
    </xf>
    <xf numFmtId="0" fontId="24" fillId="0" borderId="0" xfId="0" applyFont="1" applyAlignment="1">
      <alignment horizontal="right"/>
    </xf>
    <xf numFmtId="0" fontId="24" fillId="0" borderId="0" xfId="0" applyFont="1"/>
    <xf numFmtId="0" fontId="27" fillId="0" borderId="0" xfId="0" applyFont="1"/>
    <xf numFmtId="0" fontId="21" fillId="0" borderId="15" xfId="0" applyFont="1" applyBorder="1" applyAlignment="1">
      <alignment horizontal="left"/>
    </xf>
    <xf numFmtId="167" fontId="24" fillId="0" borderId="15" xfId="0" applyNumberFormat="1" applyFont="1" applyBorder="1" applyAlignment="1">
      <alignment horizontal="right"/>
    </xf>
    <xf numFmtId="167" fontId="24" fillId="0" borderId="16" xfId="0" applyNumberFormat="1" applyFont="1" applyBorder="1" applyAlignment="1">
      <alignment horizontal="right"/>
    </xf>
    <xf numFmtId="167" fontId="24" fillId="0" borderId="14" xfId="0" applyNumberFormat="1" applyFont="1" applyBorder="1" applyAlignment="1">
      <alignment horizontal="right"/>
    </xf>
    <xf numFmtId="167" fontId="24" fillId="0" borderId="15" xfId="0" applyNumberFormat="1" applyFont="1" applyBorder="1"/>
    <xf numFmtId="167" fontId="24" fillId="0" borderId="16" xfId="0" applyNumberFormat="1" applyFont="1" applyBorder="1"/>
    <xf numFmtId="0" fontId="21" fillId="0" borderId="10" xfId="0" applyFont="1" applyBorder="1" applyAlignment="1">
      <alignment horizontal="left"/>
    </xf>
    <xf numFmtId="167" fontId="24" fillId="0" borderId="10" xfId="0" applyNumberFormat="1" applyFont="1" applyBorder="1" applyAlignment="1">
      <alignment horizontal="right"/>
    </xf>
    <xf numFmtId="167" fontId="24" fillId="0" borderId="18" xfId="0" applyNumberFormat="1" applyFont="1" applyBorder="1" applyAlignment="1">
      <alignment horizontal="right"/>
    </xf>
    <xf numFmtId="167" fontId="24" fillId="0" borderId="17" xfId="0" applyNumberFormat="1" applyFont="1" applyBorder="1" applyAlignment="1">
      <alignment horizontal="right"/>
    </xf>
    <xf numFmtId="167" fontId="24" fillId="0" borderId="10" xfId="0" applyNumberFormat="1" applyFont="1" applyBorder="1"/>
    <xf numFmtId="167" fontId="24" fillId="0" borderId="18" xfId="0" applyNumberFormat="1" applyFont="1" applyBorder="1"/>
    <xf numFmtId="0" fontId="21" fillId="0" borderId="40" xfId="0" applyFont="1" applyBorder="1" applyAlignment="1">
      <alignment horizontal="left"/>
    </xf>
    <xf numFmtId="167" fontId="24" fillId="0" borderId="11" xfId="0" applyNumberFormat="1" applyFont="1" applyBorder="1" applyAlignment="1">
      <alignment horizontal="right"/>
    </xf>
    <xf numFmtId="167" fontId="24" fillId="0" borderId="37" xfId="0" applyNumberFormat="1" applyFont="1" applyBorder="1" applyAlignment="1">
      <alignment horizontal="right"/>
    </xf>
    <xf numFmtId="167" fontId="24" fillId="0" borderId="22" xfId="0" applyNumberFormat="1" applyFont="1" applyBorder="1" applyAlignment="1">
      <alignment horizontal="right"/>
    </xf>
    <xf numFmtId="0" fontId="21" fillId="34" borderId="35" xfId="0" applyFont="1" applyFill="1" applyBorder="1"/>
    <xf numFmtId="0" fontId="21" fillId="0" borderId="33" xfId="0" applyFont="1" applyBorder="1" applyAlignment="1">
      <alignment horizontal="left"/>
    </xf>
    <xf numFmtId="2" fontId="24" fillId="0" borderId="33" xfId="0" applyNumberFormat="1" applyFont="1" applyBorder="1" applyAlignment="1">
      <alignment horizontal="right"/>
    </xf>
    <xf numFmtId="2" fontId="24" fillId="0" borderId="32" xfId="0" applyNumberFormat="1" applyFont="1" applyBorder="1" applyAlignment="1">
      <alignment horizontal="right"/>
    </xf>
    <xf numFmtId="0" fontId="24" fillId="0" borderId="38" xfId="0" applyFont="1" applyBorder="1" applyAlignment="1">
      <alignment horizontal="right"/>
    </xf>
    <xf numFmtId="0" fontId="24" fillId="0" borderId="33" xfId="0" applyFont="1" applyBorder="1" applyAlignment="1">
      <alignment horizontal="right"/>
    </xf>
    <xf numFmtId="0" fontId="24" fillId="0" borderId="32" xfId="0" applyFont="1" applyBorder="1" applyAlignment="1">
      <alignment horizontal="right"/>
    </xf>
    <xf numFmtId="2" fontId="24" fillId="0" borderId="38" xfId="0" applyNumberFormat="1" applyFont="1" applyBorder="1" applyAlignment="1">
      <alignment horizontal="right"/>
    </xf>
    <xf numFmtId="2" fontId="24" fillId="0" borderId="32" xfId="0" applyNumberFormat="1" applyFont="1" applyBorder="1"/>
    <xf numFmtId="0" fontId="21" fillId="0" borderId="12" xfId="0" applyFont="1" applyBorder="1" applyAlignment="1">
      <alignment horizontal="left"/>
    </xf>
    <xf numFmtId="2" fontId="24" fillId="0" borderId="12" xfId="0" applyNumberFormat="1" applyFont="1" applyBorder="1" applyAlignment="1">
      <alignment horizontal="right"/>
    </xf>
    <xf numFmtId="2" fontId="24" fillId="0" borderId="21" xfId="0" applyNumberFormat="1" applyFont="1" applyBorder="1" applyAlignment="1">
      <alignment horizontal="right"/>
    </xf>
    <xf numFmtId="2" fontId="24" fillId="0" borderId="23" xfId="0" applyNumberFormat="1" applyFont="1" applyBorder="1" applyAlignment="1">
      <alignment horizontal="right"/>
    </xf>
    <xf numFmtId="2" fontId="24" fillId="0" borderId="41" xfId="0" applyNumberFormat="1" applyFont="1" applyBorder="1" applyAlignment="1">
      <alignment horizontal="right"/>
    </xf>
    <xf numFmtId="2" fontId="24" fillId="0" borderId="42" xfId="0" applyNumberFormat="1" applyFont="1" applyBorder="1" applyAlignment="1">
      <alignment horizontal="right"/>
    </xf>
    <xf numFmtId="2" fontId="24" fillId="0" borderId="25" xfId="0" applyNumberFormat="1" applyFont="1" applyBorder="1" applyAlignment="1">
      <alignment horizontal="right"/>
    </xf>
    <xf numFmtId="2" fontId="24" fillId="0" borderId="17" xfId="0" applyNumberFormat="1" applyFont="1" applyBorder="1" applyAlignment="1">
      <alignment horizontal="right"/>
    </xf>
    <xf numFmtId="2" fontId="24" fillId="0" borderId="10" xfId="0" applyNumberFormat="1" applyFont="1" applyBorder="1" applyAlignment="1">
      <alignment horizontal="right"/>
    </xf>
    <xf numFmtId="2" fontId="24" fillId="0" borderId="18" xfId="0" applyNumberFormat="1" applyFont="1" applyBorder="1" applyAlignment="1">
      <alignment horizontal="right"/>
    </xf>
    <xf numFmtId="2" fontId="24" fillId="0" borderId="43" xfId="0" applyNumberFormat="1" applyFont="1" applyBorder="1" applyAlignment="1">
      <alignment horizontal="right"/>
    </xf>
    <xf numFmtId="0" fontId="21" fillId="0" borderId="44" xfId="0" applyFont="1" applyBorder="1" applyAlignment="1">
      <alignment horizontal="left"/>
    </xf>
    <xf numFmtId="167" fontId="24" fillId="0" borderId="27" xfId="0" applyNumberFormat="1" applyFont="1" applyBorder="1" applyAlignment="1">
      <alignment horizontal="right"/>
    </xf>
    <xf numFmtId="167" fontId="24" fillId="0" borderId="45" xfId="0" applyNumberFormat="1" applyFont="1" applyBorder="1" applyAlignment="1">
      <alignment horizontal="right"/>
    </xf>
    <xf numFmtId="167" fontId="24" fillId="0" borderId="26" xfId="0" applyNumberFormat="1" applyFont="1" applyBorder="1" applyAlignment="1">
      <alignment horizontal="right"/>
    </xf>
    <xf numFmtId="10" fontId="21" fillId="0" borderId="0" xfId="0" applyNumberFormat="1" applyFont="1"/>
    <xf numFmtId="0" fontId="27" fillId="0" borderId="0" xfId="0" applyFont="1" applyAlignment="1">
      <alignment horizontal="center" vertical="center" textRotation="90"/>
    </xf>
    <xf numFmtId="0" fontId="21" fillId="0" borderId="0" xfId="0" applyFont="1" applyAlignment="1">
      <alignment horizontal="left" indent="1"/>
    </xf>
    <xf numFmtId="2" fontId="21" fillId="0" borderId="0" xfId="0" applyNumberFormat="1" applyFont="1"/>
    <xf numFmtId="2" fontId="24" fillId="0" borderId="0" xfId="0" applyNumberFormat="1" applyFont="1"/>
    <xf numFmtId="2" fontId="24" fillId="0" borderId="0" xfId="0" applyNumberFormat="1" applyFont="1" applyAlignment="1">
      <alignment horizontal="right"/>
    </xf>
    <xf numFmtId="2" fontId="21" fillId="0" borderId="0" xfId="0" applyNumberFormat="1" applyFont="1" applyAlignment="1">
      <alignment horizontal="right"/>
    </xf>
    <xf numFmtId="10" fontId="21" fillId="0" borderId="0" xfId="42" applyNumberFormat="1" applyFont="1" applyAlignment="1">
      <alignment horizontal="right"/>
    </xf>
    <xf numFmtId="165" fontId="24" fillId="34" borderId="35" xfId="0" applyNumberFormat="1" applyFont="1" applyFill="1" applyBorder="1"/>
    <xf numFmtId="165" fontId="24" fillId="34" borderId="36" xfId="0" applyNumberFormat="1" applyFont="1" applyFill="1" applyBorder="1"/>
    <xf numFmtId="165" fontId="21" fillId="0" borderId="0" xfId="0" applyNumberFormat="1" applyFont="1" applyAlignment="1">
      <alignment horizontal="right"/>
    </xf>
    <xf numFmtId="165" fontId="24" fillId="34" borderId="34" xfId="0" applyNumberFormat="1" applyFont="1" applyFill="1" applyBorder="1" applyAlignment="1">
      <alignment horizontal="right"/>
    </xf>
    <xf numFmtId="165" fontId="21" fillId="0" borderId="0" xfId="0" applyNumberFormat="1" applyFont="1"/>
    <xf numFmtId="165" fontId="24" fillId="34" borderId="33" xfId="0" applyNumberFormat="1" applyFont="1" applyFill="1" applyBorder="1"/>
    <xf numFmtId="165" fontId="24" fillId="34" borderId="32" xfId="0" applyNumberFormat="1" applyFont="1" applyFill="1" applyBorder="1"/>
    <xf numFmtId="165" fontId="24" fillId="34" borderId="38" xfId="0" applyNumberFormat="1" applyFont="1" applyFill="1" applyBorder="1" applyAlignment="1">
      <alignment horizontal="right"/>
    </xf>
    <xf numFmtId="165" fontId="21" fillId="34" borderId="35" xfId="0" applyNumberFormat="1" applyFont="1" applyFill="1" applyBorder="1"/>
    <xf numFmtId="0" fontId="21" fillId="0" borderId="0" xfId="0" applyFont="1" applyFill="1"/>
    <xf numFmtId="0" fontId="21" fillId="0" borderId="39" xfId="0" applyFont="1" applyBorder="1"/>
    <xf numFmtId="0" fontId="21" fillId="0" borderId="0" xfId="0" applyFont="1" applyBorder="1"/>
    <xf numFmtId="9" fontId="21" fillId="0" borderId="0" xfId="0" applyNumberFormat="1" applyFont="1"/>
    <xf numFmtId="0" fontId="21" fillId="0" borderId="0" xfId="0" applyFont="1" applyFill="1" applyAlignment="1">
      <alignment horizontal="center"/>
    </xf>
    <xf numFmtId="0" fontId="21" fillId="0" borderId="39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/>
    <xf numFmtId="0" fontId="21" fillId="35" borderId="0" xfId="0" applyFont="1" applyFill="1"/>
    <xf numFmtId="164" fontId="21" fillId="35" borderId="0" xfId="0" applyNumberFormat="1" applyFont="1" applyFill="1"/>
    <xf numFmtId="164" fontId="21" fillId="0" borderId="0" xfId="0" applyNumberFormat="1" applyFont="1" applyFill="1"/>
    <xf numFmtId="164" fontId="21" fillId="0" borderId="0" xfId="0" applyNumberFormat="1" applyFont="1"/>
    <xf numFmtId="2" fontId="21" fillId="35" borderId="39" xfId="0" applyNumberFormat="1" applyFont="1" applyFill="1" applyBorder="1"/>
    <xf numFmtId="2" fontId="21" fillId="35" borderId="0" xfId="0" applyNumberFormat="1" applyFont="1" applyFill="1" applyBorder="1"/>
    <xf numFmtId="165" fontId="21" fillId="35" borderId="0" xfId="0" applyNumberFormat="1" applyFont="1" applyFill="1"/>
    <xf numFmtId="165" fontId="28" fillId="0" borderId="0" xfId="0" applyNumberFormat="1" applyFont="1"/>
    <xf numFmtId="2" fontId="21" fillId="0" borderId="39" xfId="0" applyNumberFormat="1" applyFont="1" applyBorder="1"/>
    <xf numFmtId="2" fontId="21" fillId="0" borderId="0" xfId="0" applyNumberFormat="1" applyFont="1" applyBorder="1"/>
    <xf numFmtId="168" fontId="21" fillId="0" borderId="0" xfId="0" applyNumberFormat="1" applyFont="1" applyAlignment="1">
      <alignment horizontal="right"/>
    </xf>
    <xf numFmtId="0" fontId="0" fillId="0" borderId="0" xfId="0" applyAlignment="1">
      <alignment horizontal="left" indent="2"/>
    </xf>
    <xf numFmtId="169" fontId="21" fillId="0" borderId="0" xfId="0" applyNumberFormat="1" applyFont="1"/>
    <xf numFmtId="0" fontId="21" fillId="37" borderId="46" xfId="0" applyFont="1" applyFill="1" applyBorder="1"/>
    <xf numFmtId="0" fontId="21" fillId="37" borderId="47" xfId="0" applyFont="1" applyFill="1" applyBorder="1"/>
    <xf numFmtId="0" fontId="21" fillId="37" borderId="48" xfId="0" applyFont="1" applyFill="1" applyBorder="1"/>
    <xf numFmtId="0" fontId="21" fillId="0" borderId="41" xfId="0" applyFont="1" applyBorder="1"/>
    <xf numFmtId="0" fontId="24" fillId="0" borderId="0" xfId="0" applyFont="1" applyAlignment="1">
      <alignment horizontal="center"/>
    </xf>
    <xf numFmtId="165" fontId="28" fillId="38" borderId="0" xfId="0" applyNumberFormat="1" applyFont="1" applyFill="1"/>
    <xf numFmtId="165" fontId="21" fillId="38" borderId="0" xfId="0" applyNumberFormat="1" applyFont="1" applyFill="1"/>
    <xf numFmtId="165" fontId="28" fillId="39" borderId="0" xfId="0" applyNumberFormat="1" applyFont="1" applyFill="1"/>
    <xf numFmtId="165" fontId="21" fillId="39" borderId="0" xfId="0" applyNumberFormat="1" applyFont="1" applyFill="1"/>
    <xf numFmtId="10" fontId="21" fillId="0" borderId="0" xfId="0" applyNumberFormat="1" applyFont="1" applyAlignment="1">
      <alignment textRotation="90"/>
    </xf>
    <xf numFmtId="164" fontId="24" fillId="0" borderId="0" xfId="0" applyNumberFormat="1" applyFont="1"/>
    <xf numFmtId="9" fontId="21" fillId="0" borderId="0" xfId="42" applyFont="1"/>
    <xf numFmtId="166" fontId="21" fillId="0" borderId="0" xfId="42" applyNumberFormat="1" applyFont="1"/>
    <xf numFmtId="0" fontId="27" fillId="0" borderId="0" xfId="0" applyFont="1" applyAlignment="1">
      <alignment horizontal="center" wrapText="1"/>
    </xf>
    <xf numFmtId="0" fontId="27" fillId="0" borderId="39" xfId="0" applyFont="1" applyBorder="1"/>
    <xf numFmtId="0" fontId="21" fillId="38" borderId="0" xfId="0" applyFont="1" applyFill="1"/>
    <xf numFmtId="0" fontId="21" fillId="38" borderId="39" xfId="0" applyFont="1" applyFill="1" applyBorder="1"/>
    <xf numFmtId="3" fontId="21" fillId="0" borderId="0" xfId="0" applyNumberFormat="1" applyFont="1"/>
    <xf numFmtId="0" fontId="22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2" fontId="21" fillId="38" borderId="39" xfId="0" applyNumberFormat="1" applyFont="1" applyFill="1" applyBorder="1"/>
    <xf numFmtId="2" fontId="21" fillId="38" borderId="0" xfId="0" applyNumberFormat="1" applyFont="1" applyFill="1"/>
    <xf numFmtId="0" fontId="21" fillId="0" borderId="53" xfId="0" applyFont="1" applyBorder="1" applyAlignment="1">
      <alignment horizontal="left" indent="1"/>
    </xf>
    <xf numFmtId="3" fontId="21" fillId="0" borderId="53" xfId="0" applyNumberFormat="1" applyFont="1" applyBorder="1"/>
    <xf numFmtId="0" fontId="21" fillId="0" borderId="53" xfId="0" applyFont="1" applyBorder="1"/>
    <xf numFmtId="2" fontId="21" fillId="0" borderId="43" xfId="0" applyNumberFormat="1" applyFont="1" applyBorder="1"/>
    <xf numFmtId="2" fontId="21" fillId="0" borderId="53" xfId="0" applyNumberFormat="1" applyFont="1" applyBorder="1"/>
    <xf numFmtId="0" fontId="21" fillId="0" borderId="49" xfId="0" applyFont="1" applyBorder="1"/>
    <xf numFmtId="0" fontId="21" fillId="0" borderId="50" xfId="0" applyFont="1" applyBorder="1"/>
    <xf numFmtId="0" fontId="21" fillId="0" borderId="51" xfId="0" applyFont="1" applyBorder="1"/>
    <xf numFmtId="9" fontId="21" fillId="0" borderId="39" xfId="42" applyFont="1" applyBorder="1"/>
    <xf numFmtId="9" fontId="21" fillId="0" borderId="0" xfId="42" applyFont="1" applyBorder="1"/>
    <xf numFmtId="9" fontId="21" fillId="0" borderId="52" xfId="42" applyFont="1" applyBorder="1"/>
    <xf numFmtId="9" fontId="21" fillId="0" borderId="43" xfId="42" applyFont="1" applyBorder="1"/>
    <xf numFmtId="9" fontId="21" fillId="0" borderId="53" xfId="42" applyFont="1" applyBorder="1"/>
    <xf numFmtId="9" fontId="21" fillId="0" borderId="54" xfId="42" applyFont="1" applyBorder="1"/>
    <xf numFmtId="9" fontId="21" fillId="0" borderId="49" xfId="42" applyFont="1" applyBorder="1"/>
    <xf numFmtId="9" fontId="21" fillId="0" borderId="50" xfId="42" applyFont="1" applyBorder="1"/>
    <xf numFmtId="9" fontId="21" fillId="0" borderId="51" xfId="42" applyFont="1" applyBorder="1"/>
    <xf numFmtId="9" fontId="21" fillId="0" borderId="0" xfId="43" applyFont="1"/>
    <xf numFmtId="0" fontId="29" fillId="0" borderId="0" xfId="0" applyFont="1"/>
    <xf numFmtId="166" fontId="1" fillId="0" borderId="0" xfId="42" applyNumberFormat="1" applyFont="1"/>
    <xf numFmtId="0" fontId="21" fillId="38" borderId="0" xfId="0" applyFont="1" applyFill="1" applyBorder="1"/>
    <xf numFmtId="10" fontId="21" fillId="0" borderId="0" xfId="0" applyNumberFormat="1" applyFont="1" applyAlignment="1">
      <alignment horizontal="left" indent="1"/>
    </xf>
    <xf numFmtId="0" fontId="21" fillId="0" borderId="39" xfId="0" applyFont="1" applyFill="1" applyBorder="1"/>
    <xf numFmtId="0" fontId="21" fillId="0" borderId="39" xfId="0" applyFont="1" applyFill="1" applyBorder="1" applyAlignment="1">
      <alignment horizontal="center"/>
    </xf>
    <xf numFmtId="164" fontId="21" fillId="35" borderId="39" xfId="0" applyNumberFormat="1" applyFont="1" applyFill="1" applyBorder="1"/>
    <xf numFmtId="164" fontId="21" fillId="0" borderId="39" xfId="0" applyNumberFormat="1" applyFont="1" applyFill="1" applyBorder="1"/>
    <xf numFmtId="9" fontId="21" fillId="0" borderId="56" xfId="42" applyFont="1" applyBorder="1"/>
    <xf numFmtId="9" fontId="21" fillId="0" borderId="57" xfId="42" applyFont="1" applyBorder="1"/>
    <xf numFmtId="9" fontId="21" fillId="0" borderId="58" xfId="42" applyFont="1" applyBorder="1"/>
    <xf numFmtId="10" fontId="21" fillId="0" borderId="0" xfId="0" applyNumberFormat="1" applyFont="1" applyBorder="1" applyAlignment="1">
      <alignment horizontal="center" textRotation="90"/>
    </xf>
    <xf numFmtId="10" fontId="27" fillId="0" borderId="49" xfId="0" applyNumberFormat="1" applyFont="1" applyBorder="1"/>
    <xf numFmtId="2" fontId="27" fillId="0" borderId="50" xfId="0" applyNumberFormat="1" applyFont="1" applyBorder="1"/>
    <xf numFmtId="0" fontId="27" fillId="0" borderId="50" xfId="0" applyFont="1" applyBorder="1" applyAlignment="1">
      <alignment horizontal="right"/>
    </xf>
    <xf numFmtId="0" fontId="27" fillId="0" borderId="50" xfId="0" applyFont="1" applyBorder="1"/>
    <xf numFmtId="2" fontId="27" fillId="0" borderId="50" xfId="0" applyNumberFormat="1" applyFont="1" applyBorder="1" applyAlignment="1">
      <alignment horizontal="right"/>
    </xf>
    <xf numFmtId="2" fontId="27" fillId="0" borderId="51" xfId="0" applyNumberFormat="1" applyFont="1" applyBorder="1"/>
    <xf numFmtId="0" fontId="27" fillId="0" borderId="49" xfId="0" applyFont="1" applyBorder="1"/>
    <xf numFmtId="165" fontId="27" fillId="0" borderId="50" xfId="0" applyNumberFormat="1" applyFont="1" applyBorder="1" applyAlignment="1">
      <alignment horizontal="right"/>
    </xf>
    <xf numFmtId="165" fontId="27" fillId="0" borderId="51" xfId="0" applyNumberFormat="1" applyFont="1" applyBorder="1" applyAlignment="1">
      <alignment horizontal="right"/>
    </xf>
    <xf numFmtId="166" fontId="21" fillId="0" borderId="0" xfId="42" applyNumberFormat="1" applyFont="1" applyAlignment="1">
      <alignment horizontal="right"/>
    </xf>
    <xf numFmtId="164" fontId="21" fillId="0" borderId="0" xfId="0" applyNumberFormat="1" applyFont="1" applyAlignment="1">
      <alignment horizontal="right"/>
    </xf>
    <xf numFmtId="166" fontId="21" fillId="0" borderId="0" xfId="0" applyNumberFormat="1" applyFont="1"/>
    <xf numFmtId="2" fontId="24" fillId="0" borderId="26" xfId="0" applyNumberFormat="1" applyFont="1" applyBorder="1" applyAlignment="1">
      <alignment horizontal="right"/>
    </xf>
    <xf numFmtId="2" fontId="24" fillId="0" borderId="27" xfId="0" applyNumberFormat="1" applyFont="1" applyBorder="1" applyAlignment="1">
      <alignment horizontal="right"/>
    </xf>
    <xf numFmtId="2" fontId="24" fillId="0" borderId="45" xfId="0" applyNumberFormat="1" applyFont="1" applyBorder="1" applyAlignment="1">
      <alignment horizontal="right"/>
    </xf>
    <xf numFmtId="3" fontId="31" fillId="0" borderId="59" xfId="0" applyNumberFormat="1" applyFont="1" applyBorder="1"/>
    <xf numFmtId="0" fontId="30" fillId="0" borderId="59" xfId="0" applyFont="1" applyBorder="1"/>
    <xf numFmtId="0" fontId="30" fillId="0" borderId="52" xfId="0" applyFont="1" applyBorder="1" applyAlignment="1">
      <alignment horizontal="center"/>
    </xf>
    <xf numFmtId="0" fontId="30" fillId="0" borderId="65" xfId="0" applyFont="1" applyBorder="1" applyAlignment="1">
      <alignment horizontal="center"/>
    </xf>
    <xf numFmtId="3" fontId="30" fillId="0" borderId="65" xfId="0" applyNumberFormat="1" applyFont="1" applyBorder="1" applyAlignment="1">
      <alignment horizontal="center"/>
    </xf>
    <xf numFmtId="0" fontId="30" fillId="0" borderId="66" xfId="0" applyFont="1" applyBorder="1" applyAlignment="1">
      <alignment horizontal="center"/>
    </xf>
    <xf numFmtId="0" fontId="30" fillId="0" borderId="60" xfId="0" applyFont="1" applyBorder="1" applyAlignment="1">
      <alignment horizontal="center"/>
    </xf>
    <xf numFmtId="0" fontId="30" fillId="0" borderId="61" xfId="0" applyFont="1" applyBorder="1" applyAlignment="1">
      <alignment horizontal="center"/>
    </xf>
    <xf numFmtId="3" fontId="30" fillId="0" borderId="61" xfId="0" applyNumberFormat="1" applyFont="1" applyBorder="1" applyAlignment="1">
      <alignment horizontal="center"/>
    </xf>
    <xf numFmtId="0" fontId="30" fillId="0" borderId="67" xfId="0" applyFont="1" applyBorder="1" applyAlignment="1">
      <alignment horizontal="center"/>
    </xf>
    <xf numFmtId="0" fontId="30" fillId="0" borderId="68" xfId="0" applyFont="1" applyBorder="1" applyAlignment="1">
      <alignment horizontal="center"/>
    </xf>
    <xf numFmtId="0" fontId="33" fillId="0" borderId="59" xfId="0" applyFont="1" applyBorder="1" applyAlignment="1">
      <alignment horizontal="center"/>
    </xf>
    <xf numFmtId="0" fontId="30" fillId="0" borderId="69" xfId="0" applyFont="1" applyBorder="1"/>
    <xf numFmtId="0" fontId="24" fillId="0" borderId="61" xfId="0" applyFont="1" applyBorder="1" applyAlignment="1">
      <alignment horizontal="center"/>
    </xf>
    <xf numFmtId="0" fontId="24" fillId="0" borderId="67" xfId="0" applyFont="1" applyBorder="1" applyAlignment="1">
      <alignment horizontal="center"/>
    </xf>
    <xf numFmtId="9" fontId="24" fillId="36" borderId="68" xfId="43" applyFont="1" applyFill="1" applyBorder="1" applyAlignment="1">
      <alignment horizontal="center"/>
    </xf>
    <xf numFmtId="9" fontId="24" fillId="36" borderId="61" xfId="43" applyFont="1" applyFill="1" applyBorder="1" applyAlignment="1">
      <alignment horizontal="center"/>
    </xf>
    <xf numFmtId="9" fontId="24" fillId="36" borderId="67" xfId="43" applyFont="1" applyFill="1" applyBorder="1" applyAlignment="1">
      <alignment horizontal="center"/>
    </xf>
    <xf numFmtId="0" fontId="24" fillId="0" borderId="69" xfId="0" applyFont="1" applyBorder="1"/>
    <xf numFmtId="0" fontId="24" fillId="0" borderId="70" xfId="0" applyFont="1" applyBorder="1"/>
    <xf numFmtId="0" fontId="34" fillId="0" borderId="71" xfId="0" applyFont="1" applyBorder="1" applyAlignment="1">
      <alignment horizontal="center"/>
    </xf>
    <xf numFmtId="165" fontId="34" fillId="36" borderId="72" xfId="0" applyNumberFormat="1" applyFont="1" applyFill="1" applyBorder="1" applyAlignment="1">
      <alignment horizontal="center"/>
    </xf>
    <xf numFmtId="165" fontId="34" fillId="36" borderId="73" xfId="0" applyNumberFormat="1" applyFont="1" applyFill="1" applyBorder="1" applyAlignment="1">
      <alignment horizontal="center"/>
    </xf>
    <xf numFmtId="165" fontId="34" fillId="36" borderId="74" xfId="0" applyNumberFormat="1" applyFont="1" applyFill="1" applyBorder="1" applyAlignment="1">
      <alignment horizontal="center"/>
    </xf>
    <xf numFmtId="165" fontId="34" fillId="0" borderId="75" xfId="0" applyNumberFormat="1" applyFont="1" applyBorder="1" applyAlignment="1">
      <alignment horizontal="center"/>
    </xf>
    <xf numFmtId="165" fontId="34" fillId="0" borderId="76" xfId="0" applyNumberFormat="1" applyFont="1" applyBorder="1" applyAlignment="1">
      <alignment horizontal="center"/>
    </xf>
    <xf numFmtId="165" fontId="34" fillId="0" borderId="77" xfId="0" applyNumberFormat="1" applyFont="1" applyBorder="1" applyAlignment="1">
      <alignment horizontal="center"/>
    </xf>
    <xf numFmtId="170" fontId="34" fillId="36" borderId="72" xfId="0" applyNumberFormat="1" applyFont="1" applyFill="1" applyBorder="1" applyAlignment="1">
      <alignment horizontal="center"/>
    </xf>
    <xf numFmtId="164" fontId="34" fillId="36" borderId="73" xfId="0" applyNumberFormat="1" applyFont="1" applyFill="1" applyBorder="1" applyAlignment="1">
      <alignment horizontal="center"/>
    </xf>
    <xf numFmtId="164" fontId="34" fillId="36" borderId="74" xfId="0" applyNumberFormat="1" applyFont="1" applyFill="1" applyBorder="1" applyAlignment="1">
      <alignment horizontal="center"/>
    </xf>
    <xf numFmtId="4" fontId="34" fillId="36" borderId="72" xfId="0" applyNumberFormat="1" applyFont="1" applyFill="1" applyBorder="1" applyAlignment="1">
      <alignment horizontal="center"/>
    </xf>
    <xf numFmtId="4" fontId="34" fillId="36" borderId="73" xfId="0" applyNumberFormat="1" applyFont="1" applyFill="1" applyBorder="1" applyAlignment="1">
      <alignment horizontal="center"/>
    </xf>
    <xf numFmtId="4" fontId="34" fillId="36" borderId="74" xfId="0" applyNumberFormat="1" applyFont="1" applyFill="1" applyBorder="1" applyAlignment="1">
      <alignment horizontal="center"/>
    </xf>
    <xf numFmtId="0" fontId="34" fillId="0" borderId="78" xfId="0" applyFont="1" applyBorder="1" applyAlignment="1">
      <alignment horizontal="center"/>
    </xf>
    <xf numFmtId="165" fontId="34" fillId="36" borderId="79" xfId="0" applyNumberFormat="1" applyFont="1" applyFill="1" applyBorder="1" applyAlignment="1">
      <alignment horizontal="center"/>
    </xf>
    <xf numFmtId="165" fontId="34" fillId="36" borderId="80" xfId="0" applyNumberFormat="1" applyFont="1" applyFill="1" applyBorder="1" applyAlignment="1">
      <alignment horizontal="center"/>
    </xf>
    <xf numFmtId="165" fontId="34" fillId="36" borderId="81" xfId="0" applyNumberFormat="1" applyFont="1" applyFill="1" applyBorder="1" applyAlignment="1">
      <alignment horizontal="center"/>
    </xf>
    <xf numFmtId="165" fontId="34" fillId="0" borderId="82" xfId="0" applyNumberFormat="1" applyFont="1" applyBorder="1" applyAlignment="1">
      <alignment horizontal="center"/>
    </xf>
    <xf numFmtId="165" fontId="34" fillId="0" borderId="80" xfId="0" applyNumberFormat="1" applyFont="1" applyBorder="1" applyAlignment="1">
      <alignment horizontal="center"/>
    </xf>
    <xf numFmtId="165" fontId="34" fillId="0" borderId="83" xfId="0" applyNumberFormat="1" applyFont="1" applyBorder="1" applyAlignment="1">
      <alignment horizontal="center"/>
    </xf>
    <xf numFmtId="170" fontId="34" fillId="36" borderId="79" xfId="0" applyNumberFormat="1" applyFont="1" applyFill="1" applyBorder="1" applyAlignment="1">
      <alignment horizontal="center"/>
    </xf>
    <xf numFmtId="164" fontId="34" fillId="36" borderId="80" xfId="0" applyNumberFormat="1" applyFont="1" applyFill="1" applyBorder="1" applyAlignment="1">
      <alignment horizontal="center"/>
    </xf>
    <xf numFmtId="164" fontId="34" fillId="36" borderId="81" xfId="0" applyNumberFormat="1" applyFont="1" applyFill="1" applyBorder="1" applyAlignment="1">
      <alignment horizontal="center"/>
    </xf>
    <xf numFmtId="4" fontId="34" fillId="36" borderId="79" xfId="0" applyNumberFormat="1" applyFont="1" applyFill="1" applyBorder="1" applyAlignment="1">
      <alignment horizontal="center"/>
    </xf>
    <xf numFmtId="4" fontId="34" fillId="36" borderId="80" xfId="0" applyNumberFormat="1" applyFont="1" applyFill="1" applyBorder="1" applyAlignment="1">
      <alignment horizontal="center"/>
    </xf>
    <xf numFmtId="4" fontId="34" fillId="36" borderId="81" xfId="0" applyNumberFormat="1" applyFont="1" applyFill="1" applyBorder="1" applyAlignment="1">
      <alignment horizontal="center"/>
    </xf>
    <xf numFmtId="0" fontId="34" fillId="0" borderId="84" xfId="0" applyFont="1" applyBorder="1" applyAlignment="1">
      <alignment horizontal="center"/>
    </xf>
    <xf numFmtId="165" fontId="34" fillId="36" borderId="85" xfId="0" applyNumberFormat="1" applyFont="1" applyFill="1" applyBorder="1" applyAlignment="1">
      <alignment horizontal="center"/>
    </xf>
    <xf numFmtId="165" fontId="34" fillId="36" borderId="86" xfId="0" applyNumberFormat="1" applyFont="1" applyFill="1" applyBorder="1" applyAlignment="1">
      <alignment horizontal="center"/>
    </xf>
    <xf numFmtId="165" fontId="34" fillId="36" borderId="87" xfId="0" applyNumberFormat="1" applyFont="1" applyFill="1" applyBorder="1" applyAlignment="1">
      <alignment horizontal="center"/>
    </xf>
    <xf numFmtId="165" fontId="34" fillId="0" borderId="88" xfId="0" applyNumberFormat="1" applyFont="1" applyBorder="1" applyAlignment="1">
      <alignment horizontal="center"/>
    </xf>
    <xf numFmtId="165" fontId="34" fillId="0" borderId="86" xfId="0" applyNumberFormat="1" applyFont="1" applyBorder="1" applyAlignment="1">
      <alignment horizontal="center"/>
    </xf>
    <xf numFmtId="165" fontId="34" fillId="0" borderId="89" xfId="0" applyNumberFormat="1" applyFont="1" applyBorder="1" applyAlignment="1">
      <alignment horizontal="center"/>
    </xf>
    <xf numFmtId="170" fontId="34" fillId="36" borderId="85" xfId="0" applyNumberFormat="1" applyFont="1" applyFill="1" applyBorder="1" applyAlignment="1">
      <alignment horizontal="center"/>
    </xf>
    <xf numFmtId="164" fontId="34" fillId="36" borderId="86" xfId="0" applyNumberFormat="1" applyFont="1" applyFill="1" applyBorder="1" applyAlignment="1">
      <alignment horizontal="center"/>
    </xf>
    <xf numFmtId="164" fontId="34" fillId="36" borderId="87" xfId="0" applyNumberFormat="1" applyFont="1" applyFill="1" applyBorder="1" applyAlignment="1">
      <alignment horizontal="center"/>
    </xf>
    <xf numFmtId="4" fontId="34" fillId="36" borderId="85" xfId="0" applyNumberFormat="1" applyFont="1" applyFill="1" applyBorder="1" applyAlignment="1">
      <alignment horizontal="center"/>
    </xf>
    <xf numFmtId="4" fontId="34" fillId="36" borderId="86" xfId="0" applyNumberFormat="1" applyFont="1" applyFill="1" applyBorder="1" applyAlignment="1">
      <alignment horizontal="center"/>
    </xf>
    <xf numFmtId="4" fontId="34" fillId="36" borderId="87" xfId="0" applyNumberFormat="1" applyFont="1" applyFill="1" applyBorder="1" applyAlignment="1">
      <alignment horizontal="center"/>
    </xf>
    <xf numFmtId="165" fontId="34" fillId="36" borderId="90" xfId="0" applyNumberFormat="1" applyFont="1" applyFill="1" applyBorder="1" applyAlignment="1">
      <alignment horizontal="center"/>
    </xf>
    <xf numFmtId="165" fontId="34" fillId="36" borderId="76" xfId="0" applyNumberFormat="1" applyFont="1" applyFill="1" applyBorder="1" applyAlignment="1">
      <alignment horizontal="center"/>
    </xf>
    <xf numFmtId="165" fontId="34" fillId="36" borderId="91" xfId="0" applyNumberFormat="1" applyFont="1" applyFill="1" applyBorder="1" applyAlignment="1">
      <alignment horizontal="center"/>
    </xf>
    <xf numFmtId="170" fontId="34" fillId="36" borderId="90" xfId="0" applyNumberFormat="1" applyFont="1" applyFill="1" applyBorder="1" applyAlignment="1">
      <alignment horizontal="center"/>
    </xf>
    <xf numFmtId="164" fontId="34" fillId="36" borderId="76" xfId="0" applyNumberFormat="1" applyFont="1" applyFill="1" applyBorder="1" applyAlignment="1">
      <alignment horizontal="center"/>
    </xf>
    <xf numFmtId="164" fontId="34" fillId="36" borderId="91" xfId="0" applyNumberFormat="1" applyFont="1" applyFill="1" applyBorder="1" applyAlignment="1">
      <alignment horizontal="center"/>
    </xf>
    <xf numFmtId="4" fontId="34" fillId="36" borderId="90" xfId="0" applyNumberFormat="1" applyFont="1" applyFill="1" applyBorder="1" applyAlignment="1">
      <alignment horizontal="center"/>
    </xf>
    <xf numFmtId="4" fontId="34" fillId="36" borderId="76" xfId="0" applyNumberFormat="1" applyFont="1" applyFill="1" applyBorder="1" applyAlignment="1">
      <alignment horizontal="center"/>
    </xf>
    <xf numFmtId="4" fontId="34" fillId="36" borderId="91" xfId="0" applyNumberFormat="1" applyFont="1" applyFill="1" applyBorder="1" applyAlignment="1">
      <alignment horizontal="center"/>
    </xf>
    <xf numFmtId="171" fontId="34" fillId="36" borderId="86" xfId="0" applyNumberFormat="1" applyFont="1" applyFill="1" applyBorder="1" applyAlignment="1">
      <alignment horizontal="center"/>
    </xf>
    <xf numFmtId="171" fontId="34" fillId="36" borderId="87" xfId="0" applyNumberFormat="1" applyFont="1" applyFill="1" applyBorder="1" applyAlignment="1">
      <alignment horizontal="center"/>
    </xf>
    <xf numFmtId="171" fontId="34" fillId="36" borderId="76" xfId="0" applyNumberFormat="1" applyFont="1" applyFill="1" applyBorder="1" applyAlignment="1">
      <alignment horizontal="center"/>
    </xf>
    <xf numFmtId="171" fontId="34" fillId="36" borderId="91" xfId="0" applyNumberFormat="1" applyFont="1" applyFill="1" applyBorder="1" applyAlignment="1">
      <alignment horizontal="center"/>
    </xf>
    <xf numFmtId="171" fontId="34" fillId="36" borderId="80" xfId="0" applyNumberFormat="1" applyFont="1" applyFill="1" applyBorder="1" applyAlignment="1">
      <alignment horizontal="center"/>
    </xf>
    <xf numFmtId="171" fontId="34" fillId="36" borderId="81" xfId="0" applyNumberFormat="1" applyFont="1" applyFill="1" applyBorder="1" applyAlignment="1">
      <alignment horizontal="center"/>
    </xf>
    <xf numFmtId="0" fontId="34" fillId="0" borderId="92" xfId="0" applyFont="1" applyBorder="1" applyAlignment="1">
      <alignment horizontal="center"/>
    </xf>
    <xf numFmtId="165" fontId="34" fillId="36" borderId="93" xfId="0" applyNumberFormat="1" applyFont="1" applyFill="1" applyBorder="1" applyAlignment="1">
      <alignment horizontal="center"/>
    </xf>
    <xf numFmtId="165" fontId="34" fillId="36" borderId="94" xfId="0" applyNumberFormat="1" applyFont="1" applyFill="1" applyBorder="1" applyAlignment="1">
      <alignment horizontal="center"/>
    </xf>
    <xf numFmtId="165" fontId="34" fillId="36" borderId="95" xfId="0" applyNumberFormat="1" applyFont="1" applyFill="1" applyBorder="1" applyAlignment="1">
      <alignment horizontal="center"/>
    </xf>
    <xf numFmtId="165" fontId="34" fillId="0" borderId="96" xfId="0" applyNumberFormat="1" applyFont="1" applyBorder="1" applyAlignment="1">
      <alignment horizontal="center"/>
    </xf>
    <xf numFmtId="165" fontId="34" fillId="0" borderId="94" xfId="0" applyNumberFormat="1" applyFont="1" applyBorder="1" applyAlignment="1">
      <alignment horizontal="center"/>
    </xf>
    <xf numFmtId="165" fontId="34" fillId="0" borderId="97" xfId="0" applyNumberFormat="1" applyFont="1" applyBorder="1" applyAlignment="1">
      <alignment horizontal="center"/>
    </xf>
    <xf numFmtId="170" fontId="34" fillId="36" borderId="93" xfId="0" applyNumberFormat="1" applyFont="1" applyFill="1" applyBorder="1" applyAlignment="1">
      <alignment horizontal="center"/>
    </xf>
    <xf numFmtId="4" fontId="34" fillId="36" borderId="93" xfId="0" applyNumberFormat="1" applyFont="1" applyFill="1" applyBorder="1" applyAlignment="1">
      <alignment horizontal="center"/>
    </xf>
    <xf numFmtId="4" fontId="34" fillId="36" borderId="94" xfId="0" applyNumberFormat="1" applyFont="1" applyFill="1" applyBorder="1" applyAlignment="1">
      <alignment horizontal="center"/>
    </xf>
    <xf numFmtId="4" fontId="34" fillId="36" borderId="95" xfId="0" applyNumberFormat="1" applyFont="1" applyFill="1" applyBorder="1" applyAlignment="1">
      <alignment horizontal="center"/>
    </xf>
    <xf numFmtId="0" fontId="34" fillId="0" borderId="98" xfId="0" applyFont="1" applyBorder="1" applyAlignment="1">
      <alignment horizontal="center"/>
    </xf>
    <xf numFmtId="165" fontId="34" fillId="0" borderId="99" xfId="0" applyNumberFormat="1" applyFont="1" applyBorder="1" applyAlignment="1">
      <alignment horizontal="center"/>
    </xf>
    <xf numFmtId="165" fontId="34" fillId="0" borderId="73" xfId="0" applyNumberFormat="1" applyFont="1" applyBorder="1" applyAlignment="1">
      <alignment horizontal="center"/>
    </xf>
    <xf numFmtId="165" fontId="34" fillId="0" borderId="100" xfId="0" applyNumberFormat="1" applyFont="1" applyBorder="1" applyAlignment="1">
      <alignment horizontal="center"/>
    </xf>
    <xf numFmtId="171" fontId="34" fillId="36" borderId="73" xfId="0" applyNumberFormat="1" applyFont="1" applyFill="1" applyBorder="1" applyAlignment="1">
      <alignment horizontal="center"/>
    </xf>
    <xf numFmtId="171" fontId="34" fillId="36" borderId="74" xfId="0" applyNumberFormat="1" applyFont="1" applyFill="1" applyBorder="1" applyAlignment="1">
      <alignment horizontal="center"/>
    </xf>
    <xf numFmtId="171" fontId="34" fillId="36" borderId="72" xfId="0" applyNumberFormat="1" applyFont="1" applyFill="1" applyBorder="1" applyAlignment="1">
      <alignment horizontal="center"/>
    </xf>
    <xf numFmtId="171" fontId="34" fillId="36" borderId="79" xfId="0" applyNumberFormat="1" applyFont="1" applyFill="1" applyBorder="1" applyAlignment="1">
      <alignment horizontal="center"/>
    </xf>
    <xf numFmtId="165" fontId="33" fillId="36" borderId="85" xfId="0" applyNumberFormat="1" applyFont="1" applyFill="1" applyBorder="1" applyAlignment="1">
      <alignment horizontal="center"/>
    </xf>
    <xf numFmtId="171" fontId="34" fillId="36" borderId="85" xfId="0" applyNumberFormat="1" applyFont="1" applyFill="1" applyBorder="1" applyAlignment="1">
      <alignment horizontal="center"/>
    </xf>
    <xf numFmtId="171" fontId="34" fillId="36" borderId="90" xfId="0" applyNumberFormat="1" applyFont="1" applyFill="1" applyBorder="1" applyAlignment="1">
      <alignment horizontal="center"/>
    </xf>
    <xf numFmtId="171" fontId="34" fillId="36" borderId="93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60" xfId="0" applyFont="1" applyBorder="1" applyAlignment="1">
      <alignment horizontal="center"/>
    </xf>
    <xf numFmtId="0" fontId="32" fillId="0" borderId="61" xfId="0" applyFont="1" applyBorder="1" applyAlignment="1">
      <alignment horizontal="center"/>
    </xf>
    <xf numFmtId="0" fontId="32" fillId="0" borderId="62" xfId="0" applyFont="1" applyBorder="1" applyAlignment="1">
      <alignment horizontal="center"/>
    </xf>
    <xf numFmtId="0" fontId="32" fillId="0" borderId="63" xfId="0" applyFont="1" applyBorder="1" applyAlignment="1">
      <alignment horizontal="center"/>
    </xf>
    <xf numFmtId="0" fontId="32" fillId="0" borderId="55" xfId="0" applyFont="1" applyBorder="1" applyAlignment="1">
      <alignment horizontal="center"/>
    </xf>
    <xf numFmtId="0" fontId="32" fillId="0" borderId="64" xfId="0" applyFont="1" applyBorder="1" applyAlignment="1">
      <alignment horizontal="center"/>
    </xf>
    <xf numFmtId="0" fontId="27" fillId="0" borderId="29" xfId="0" applyFont="1" applyBorder="1" applyAlignment="1">
      <alignment horizontal="center" vertical="center" textRotation="90"/>
    </xf>
    <xf numFmtId="0" fontId="27" fillId="0" borderId="30" xfId="0" applyFont="1" applyBorder="1" applyAlignment="1">
      <alignment horizontal="center" vertical="center" textRotation="90"/>
    </xf>
    <xf numFmtId="0" fontId="27" fillId="0" borderId="31" xfId="0" applyFont="1" applyBorder="1" applyAlignment="1">
      <alignment horizontal="center" vertical="center" textRotation="90"/>
    </xf>
    <xf numFmtId="0" fontId="22" fillId="0" borderId="24" xfId="0" applyFont="1" applyBorder="1" applyAlignment="1">
      <alignment horizontal="center" vertical="center" textRotation="90"/>
    </xf>
    <xf numFmtId="0" fontId="22" fillId="0" borderId="17" xfId="0" applyFont="1" applyBorder="1" applyAlignment="1">
      <alignment horizontal="center" vertical="center" textRotation="90"/>
    </xf>
    <xf numFmtId="0" fontId="22" fillId="0" borderId="22" xfId="0" applyFont="1" applyBorder="1" applyAlignment="1">
      <alignment horizontal="center" vertical="center" textRotation="90"/>
    </xf>
    <xf numFmtId="0" fontId="26" fillId="0" borderId="24" xfId="0" applyFont="1" applyBorder="1" applyAlignment="1">
      <alignment horizontal="center" vertical="center" textRotation="90"/>
    </xf>
    <xf numFmtId="0" fontId="26" fillId="0" borderId="17" xfId="0" applyFont="1" applyBorder="1" applyAlignment="1">
      <alignment horizontal="center" vertical="center" textRotation="90"/>
    </xf>
    <xf numFmtId="0" fontId="26" fillId="0" borderId="22" xfId="0" applyFont="1" applyBorder="1" applyAlignment="1">
      <alignment horizontal="center" vertical="center" textRotation="90"/>
    </xf>
    <xf numFmtId="0" fontId="22" fillId="0" borderId="26" xfId="0" applyFont="1" applyBorder="1" applyAlignment="1">
      <alignment horizontal="center" vertical="center" textRotation="90"/>
    </xf>
    <xf numFmtId="0" fontId="22" fillId="0" borderId="14" xfId="0" applyFont="1" applyBorder="1" applyAlignment="1">
      <alignment horizontal="center" vertical="center" textRotation="90"/>
    </xf>
    <xf numFmtId="0" fontId="22" fillId="0" borderId="19" xfId="0" applyFont="1" applyBorder="1" applyAlignment="1">
      <alignment horizontal="center" vertical="center" textRotation="90"/>
    </xf>
    <xf numFmtId="0" fontId="22" fillId="0" borderId="23" xfId="0" applyFont="1" applyBorder="1" applyAlignment="1">
      <alignment horizontal="center" vertical="center" textRotation="90"/>
    </xf>
    <xf numFmtId="10" fontId="21" fillId="0" borderId="55" xfId="0" applyNumberFormat="1" applyFont="1" applyBorder="1" applyAlignment="1">
      <alignment horizontal="center" textRotation="90"/>
    </xf>
    <xf numFmtId="10" fontId="21" fillId="0" borderId="0" xfId="0" applyNumberFormat="1" applyFont="1" applyBorder="1" applyAlignment="1">
      <alignment horizontal="center" textRotation="90"/>
    </xf>
    <xf numFmtId="0" fontId="0" fillId="0" borderId="0" xfId="0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Percent 10" xfId="43" xr:uid="{1C41EADD-53B8-405B-8D7C-13CC3726F148}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font>
        <color theme="0" tint="-0.14996795556505021"/>
      </font>
    </dxf>
    <dxf>
      <font>
        <color theme="0" tint="-0.14996795556505021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0" tint="-0.14996795556505021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0" tint="-0.14996795556505021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3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3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3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2"/>
      </font>
      <fill>
        <patternFill>
          <bgColor rgb="FFFF0000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Roof</a:t>
            </a:r>
            <a:r>
              <a:rPr lang="en-US" baseline="0"/>
              <a:t> Sleeper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sleeper'!$B$4:$B$5</c:f>
              <c:strCache>
                <c:ptCount val="2"/>
                <c:pt idx="0">
                  <c:v>HR Standard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sleeper'!$B$6:$B$35</c:f>
              <c:numCache>
                <c:formatCode>0.000</c:formatCode>
                <c:ptCount val="30"/>
                <c:pt idx="0">
                  <c:v>7.0777995262828766</c:v>
                </c:pt>
                <c:pt idx="1">
                  <c:v>7.0777995262828766</c:v>
                </c:pt>
                <c:pt idx="2">
                  <c:v>7.0777995262828766</c:v>
                </c:pt>
                <c:pt idx="3">
                  <c:v>7.5783520130869038</c:v>
                </c:pt>
                <c:pt idx="4">
                  <c:v>7.5783520130869038</c:v>
                </c:pt>
                <c:pt idx="5">
                  <c:v>7.5783520130869038</c:v>
                </c:pt>
                <c:pt idx="6">
                  <c:v>8.3326465843773381</c:v>
                </c:pt>
                <c:pt idx="7">
                  <c:v>8.3326465843773381</c:v>
                </c:pt>
                <c:pt idx="8">
                  <c:v>8.3326465843773381</c:v>
                </c:pt>
                <c:pt idx="9">
                  <c:v>8.3326465843773381</c:v>
                </c:pt>
                <c:pt idx="10">
                  <c:v>8.3326465843773381</c:v>
                </c:pt>
                <c:pt idx="11">
                  <c:v>8.3326465843773381</c:v>
                </c:pt>
                <c:pt idx="12">
                  <c:v>8.3326465843773381</c:v>
                </c:pt>
                <c:pt idx="13">
                  <c:v>8.3326465843773381</c:v>
                </c:pt>
                <c:pt idx="14">
                  <c:v>8.3326465843773381</c:v>
                </c:pt>
                <c:pt idx="15">
                  <c:v>8.3326465843773381</c:v>
                </c:pt>
                <c:pt idx="16">
                  <c:v>8.3326465843773381</c:v>
                </c:pt>
                <c:pt idx="17">
                  <c:v>8.3326465843773381</c:v>
                </c:pt>
                <c:pt idx="18">
                  <c:v>8.3326465843773381</c:v>
                </c:pt>
                <c:pt idx="19">
                  <c:v>8.3326465843773381</c:v>
                </c:pt>
                <c:pt idx="20">
                  <c:v>8.3326465843773381</c:v>
                </c:pt>
                <c:pt idx="21">
                  <c:v>8.3326465843773381</c:v>
                </c:pt>
                <c:pt idx="22">
                  <c:v>8.3326465843773381</c:v>
                </c:pt>
                <c:pt idx="23">
                  <c:v>8.3326465843773381</c:v>
                </c:pt>
                <c:pt idx="24">
                  <c:v>8.3326465843773381</c:v>
                </c:pt>
                <c:pt idx="25">
                  <c:v>8.3326465843773381</c:v>
                </c:pt>
                <c:pt idx="26">
                  <c:v>8.3326465843773381</c:v>
                </c:pt>
                <c:pt idx="27">
                  <c:v>8.3326465843773381</c:v>
                </c:pt>
                <c:pt idx="28">
                  <c:v>8.3326465843773381</c:v>
                </c:pt>
                <c:pt idx="29">
                  <c:v>8.3326465843773381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EE-4BA1-9AF9-D503859A3F72}"/>
            </c:ext>
          </c:extLst>
        </c:ser>
        <c:ser>
          <c:idx val="1"/>
          <c:order val="1"/>
          <c:tx>
            <c:strRef>
              <c:f>'TRUCK inputs - sleeper'!$C$4:$C$5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sleeper'!$C$6:$C$35</c:f>
              <c:numCache>
                <c:formatCode>0.000</c:formatCode>
                <c:ptCount val="30"/>
                <c:pt idx="0">
                  <c:v>7.0893403823824892</c:v>
                </c:pt>
                <c:pt idx="1">
                  <c:v>7.3094319487204729</c:v>
                </c:pt>
                <c:pt idx="2">
                  <c:v>7.4836116645944726</c:v>
                </c:pt>
                <c:pt idx="3">
                  <c:v>7.7119155414977971</c:v>
                </c:pt>
                <c:pt idx="4">
                  <c:v>7.9402194184011208</c:v>
                </c:pt>
                <c:pt idx="5">
                  <c:v>8.1143991342751196</c:v>
                </c:pt>
                <c:pt idx="6">
                  <c:v>8.3344907006131042</c:v>
                </c:pt>
                <c:pt idx="7">
                  <c:v>8.6511679920172693</c:v>
                </c:pt>
                <c:pt idx="8">
                  <c:v>8.8911808125071818</c:v>
                </c:pt>
                <c:pt idx="9">
                  <c:v>9.1646110228823137</c:v>
                </c:pt>
                <c:pt idx="10">
                  <c:v>9.3899012493934677</c:v>
                </c:pt>
                <c:pt idx="11">
                  <c:v>9.5310302607843802</c:v>
                </c:pt>
                <c:pt idx="12">
                  <c:v>9.6048566530623258</c:v>
                </c:pt>
                <c:pt idx="13">
                  <c:v>9.6398596966951615</c:v>
                </c:pt>
                <c:pt idx="14">
                  <c:v>9.6681044495891211</c:v>
                </c:pt>
                <c:pt idx="15">
                  <c:v>9.755327009859899</c:v>
                </c:pt>
                <c:pt idx="16">
                  <c:v>9.8085102492464511</c:v>
                </c:pt>
                <c:pt idx="17">
                  <c:v>9.8909096455401055</c:v>
                </c:pt>
                <c:pt idx="18">
                  <c:v>10.014049599909024</c:v>
                </c:pt>
                <c:pt idx="19">
                  <c:v>10.1884927718706</c:v>
                </c:pt>
                <c:pt idx="20">
                  <c:v>10.417774653518537</c:v>
                </c:pt>
                <c:pt idx="21">
                  <c:v>10.691176268768215</c:v>
                </c:pt>
                <c:pt idx="22">
                  <c:v>10.981754668512043</c:v>
                </c:pt>
                <c:pt idx="23">
                  <c:v>11.255156283761721</c:v>
                </c:pt>
                <c:pt idx="24">
                  <c:v>11.48443816540966</c:v>
                </c:pt>
                <c:pt idx="25">
                  <c:v>11.658881337371234</c:v>
                </c:pt>
                <c:pt idx="26">
                  <c:v>11.782021291740154</c:v>
                </c:pt>
                <c:pt idx="27">
                  <c:v>11.864420688033807</c:v>
                </c:pt>
                <c:pt idx="28">
                  <c:v>11.917603927420359</c:v>
                </c:pt>
                <c:pt idx="29">
                  <c:v>12.004826487691137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EE-4BA1-9AF9-D503859A3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sleeper'!$D$4:$D$5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sleeper'!$D$6:$D$35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7.5540767650920353</c:v>
                      </c:pt>
                      <c:pt idx="1">
                        <c:v>7.7998059589465711</c:v>
                      </c:pt>
                      <c:pt idx="2">
                        <c:v>7.9942752059044606</c:v>
                      </c:pt>
                      <c:pt idx="3">
                        <c:v>8.2491733310746334</c:v>
                      </c:pt>
                      <c:pt idx="4">
                        <c:v>8.504071456244807</c:v>
                      </c:pt>
                      <c:pt idx="5">
                        <c:v>8.6985407032026973</c:v>
                      </c:pt>
                      <c:pt idx="6">
                        <c:v>8.9442698970572323</c:v>
                      </c:pt>
                      <c:pt idx="7">
                        <c:v>9.2950057803856154</c:v>
                      </c:pt>
                      <c:pt idx="8">
                        <c:v>9.5608319412429399</c:v>
                      </c:pt>
                      <c:pt idx="9">
                        <c:v>9.8636695269105257</c:v>
                      </c:pt>
                      <c:pt idx="10">
                        <c:v>10.113189681166846</c:v>
                      </c:pt>
                      <c:pt idx="11">
                        <c:v>10.269497095108564</c:v>
                      </c:pt>
                      <c:pt idx="12">
                        <c:v>10.351263504040949</c:v>
                      </c:pt>
                      <c:pt idx="13">
                        <c:v>10.390031119405183</c:v>
                      </c:pt>
                      <c:pt idx="14">
                        <c:v>10.421313590944994</c:v>
                      </c:pt>
                      <c:pt idx="15">
                        <c:v>10.568175263619976</c:v>
                      </c:pt>
                      <c:pt idx="16">
                        <c:v>10.65772296171936</c:v>
                      </c:pt>
                      <c:pt idx="17">
                        <c:v>10.796463594068683</c:v>
                      </c:pt>
                      <c:pt idx="18">
                        <c:v>11.003801461881755</c:v>
                      </c:pt>
                      <c:pt idx="19">
                        <c:v>11.297521526294831</c:v>
                      </c:pt>
                      <c:pt idx="20">
                        <c:v>11.683576699960316</c:v>
                      </c:pt>
                      <c:pt idx="21">
                        <c:v>12.143918822490988</c:v>
                      </c:pt>
                      <c:pt idx="22">
                        <c:v>12.633182491169324</c:v>
                      </c:pt>
                      <c:pt idx="23">
                        <c:v>13.093524613699996</c:v>
                      </c:pt>
                      <c:pt idx="24">
                        <c:v>13.479579787365481</c:v>
                      </c:pt>
                      <c:pt idx="25">
                        <c:v>13.773299851778557</c:v>
                      </c:pt>
                      <c:pt idx="26">
                        <c:v>13.98063771959163</c:v>
                      </c:pt>
                      <c:pt idx="27">
                        <c:v>14.119378351940952</c:v>
                      </c:pt>
                      <c:pt idx="28">
                        <c:v>14.208926050040336</c:v>
                      </c:pt>
                      <c:pt idx="29">
                        <c:v>14.355787722715318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0EE-4BA1-9AF9-D503859A3F7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sleeper'!$E$4:$E$5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sleeper'!$E$6:$E$35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14.664376718387347</c:v>
                      </c:pt>
                      <c:pt idx="1">
                        <c:v>14.952437034537702</c:v>
                      </c:pt>
                      <c:pt idx="2">
                        <c:v>15.180406987482622</c:v>
                      </c:pt>
                      <c:pt idx="3">
                        <c:v>15.479215742644694</c:v>
                      </c:pt>
                      <c:pt idx="4">
                        <c:v>15.778024497806765</c:v>
                      </c:pt>
                      <c:pt idx="5">
                        <c:v>16.005994450751682</c:v>
                      </c:pt>
                      <c:pt idx="6">
                        <c:v>16.29405476690204</c:v>
                      </c:pt>
                      <c:pt idx="7">
                        <c:v>16.743555778185829</c:v>
                      </c:pt>
                      <c:pt idx="8">
                        <c:v>17.084236996763003</c:v>
                      </c:pt>
                      <c:pt idx="9">
                        <c:v>17.472351836113134</c:v>
                      </c:pt>
                      <c:pt idx="10">
                        <c:v>17.792135374111986</c:v>
                      </c:pt>
                      <c:pt idx="11">
                        <c:v>17.992458021373526</c:v>
                      </c:pt>
                      <c:pt idx="12">
                        <c:v>18.097249362240522</c:v>
                      </c:pt>
                      <c:pt idx="13">
                        <c:v>18.14693370632849</c:v>
                      </c:pt>
                      <c:pt idx="14">
                        <c:v>18.1870251348392</c:v>
                      </c:pt>
                      <c:pt idx="15">
                        <c:v>18.456853529780751</c:v>
                      </c:pt>
                      <c:pt idx="16">
                        <c:v>18.621379176321227</c:v>
                      </c:pt>
                      <c:pt idx="17">
                        <c:v>18.876286814632298</c:v>
                      </c:pt>
                      <c:pt idx="18">
                        <c:v>19.257227893836927</c:v>
                      </c:pt>
                      <c:pt idx="19">
                        <c:v>19.796878655667111</c:v>
                      </c:pt>
                      <c:pt idx="20">
                        <c:v>20.506176363991415</c:v>
                      </c:pt>
                      <c:pt idx="21">
                        <c:v>21.351961202090958</c:v>
                      </c:pt>
                      <c:pt idx="22">
                        <c:v>22.2508834873822</c:v>
                      </c:pt>
                      <c:pt idx="23">
                        <c:v>23.096668325481744</c:v>
                      </c:pt>
                      <c:pt idx="24">
                        <c:v>23.805966033806047</c:v>
                      </c:pt>
                      <c:pt idx="25">
                        <c:v>24.345616795636232</c:v>
                      </c:pt>
                      <c:pt idx="26">
                        <c:v>24.726557874840861</c:v>
                      </c:pt>
                      <c:pt idx="27">
                        <c:v>24.981465513151932</c:v>
                      </c:pt>
                      <c:pt idx="28">
                        <c:v>25.145991159692407</c:v>
                      </c:pt>
                      <c:pt idx="29">
                        <c:v>25.415819554633959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EE-4BA1-9AF9-D503859A3F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sleeper'!$F$4:$F$5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sleeper'!$F$6:$F$35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9.4284625897794108</c:v>
                      </c:pt>
                      <c:pt idx="1">
                        <c:v>9.6755742895996875</c:v>
                      </c:pt>
                      <c:pt idx="2">
                        <c:v>9.8711376470694585</c:v>
                      </c:pt>
                      <c:pt idx="3">
                        <c:v>10.127469863863734</c:v>
                      </c:pt>
                      <c:pt idx="4">
                        <c:v>10.383802080658009</c:v>
                      </c:pt>
                      <c:pt idx="5">
                        <c:v>10.57936543812778</c:v>
                      </c:pt>
                      <c:pt idx="6">
                        <c:v>10.826477137948057</c:v>
                      </c:pt>
                      <c:pt idx="7">
                        <c:v>11.068555198126779</c:v>
                      </c:pt>
                      <c:pt idx="8">
                        <c:v>11.252028530693806</c:v>
                      </c:pt>
                      <c:pt idx="9">
                        <c:v>11.461047164863547</c:v>
                      </c:pt>
                      <c:pt idx="10">
                        <c:v>11.633266084537963</c:v>
                      </c:pt>
                      <c:pt idx="11">
                        <c:v>11.741149530051112</c:v>
                      </c:pt>
                      <c:pt idx="12">
                        <c:v>11.797584741282691</c:v>
                      </c:pt>
                      <c:pt idx="13">
                        <c:v>11.824342166374386</c:v>
                      </c:pt>
                      <c:pt idx="14">
                        <c:v>11.845933341922464</c:v>
                      </c:pt>
                      <c:pt idx="15">
                        <c:v>12.041645534789309</c:v>
                      </c:pt>
                      <c:pt idx="16">
                        <c:v>12.160979436153719</c:v>
                      </c:pt>
                      <c:pt idx="17">
                        <c:v>12.345869291364011</c:v>
                      </c:pt>
                      <c:pt idx="18">
                        <c:v>12.622173844042205</c:v>
                      </c:pt>
                      <c:pt idx="19">
                        <c:v>13.013593857502713</c:v>
                      </c:pt>
                      <c:pt idx="20">
                        <c:v>13.528062358572246</c:v>
                      </c:pt>
                      <c:pt idx="21">
                        <c:v>14.141527836858355</c:v>
                      </c:pt>
                      <c:pt idx="22">
                        <c:v>14.793535019828607</c:v>
                      </c:pt>
                      <c:pt idx="23">
                        <c:v>15.407000498114716</c:v>
                      </c:pt>
                      <c:pt idx="24">
                        <c:v>15.921468999184249</c:v>
                      </c:pt>
                      <c:pt idx="25">
                        <c:v>16.312889012644757</c:v>
                      </c:pt>
                      <c:pt idx="26">
                        <c:v>16.589193565322951</c:v>
                      </c:pt>
                      <c:pt idx="27">
                        <c:v>16.774083420533245</c:v>
                      </c:pt>
                      <c:pt idx="28">
                        <c:v>16.893417321897651</c:v>
                      </c:pt>
                      <c:pt idx="29">
                        <c:v>17.089129514764497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61-49B6-B38D-8288BBB2325C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Sleeper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'TRUCK inputs - sleeper'!$J$4:$J$5</c:f>
              <c:strCache>
                <c:ptCount val="2"/>
                <c:pt idx="0">
                  <c:v>Diesel</c:v>
                </c:pt>
                <c:pt idx="1">
                  <c:v>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sleeper'!$J$6:$J$35</c:f>
              <c:numCache>
                <c:formatCode>0.000</c:formatCode>
                <c:ptCount val="30"/>
                <c:pt idx="0">
                  <c:v>6.4888939494054592</c:v>
                </c:pt>
                <c:pt idx="1">
                  <c:v>6.618661358461285</c:v>
                </c:pt>
                <c:pt idx="2">
                  <c:v>6.7394727631646916</c:v>
                </c:pt>
                <c:pt idx="3">
                  <c:v>6.8995357521942369</c:v>
                </c:pt>
                <c:pt idx="4">
                  <c:v>7.0826454244148485</c:v>
                </c:pt>
                <c:pt idx="5">
                  <c:v>7.294435606504738</c:v>
                </c:pt>
                <c:pt idx="6">
                  <c:v>7.5037759176853553</c:v>
                </c:pt>
                <c:pt idx="7">
                  <c:v>7.6179189540571528</c:v>
                </c:pt>
                <c:pt idx="8">
                  <c:v>7.7555629328580205</c:v>
                </c:pt>
                <c:pt idx="9">
                  <c:v>7.8652683559393761</c:v>
                </c:pt>
                <c:pt idx="10">
                  <c:v>7.9599764527524544</c:v>
                </c:pt>
                <c:pt idx="11">
                  <c:v>8.0214709255018093</c:v>
                </c:pt>
                <c:pt idx="12">
                  <c:v>8.0395269119106274</c:v>
                </c:pt>
                <c:pt idx="13">
                  <c:v>8.0572116034836725</c:v>
                </c:pt>
                <c:pt idx="14">
                  <c:v>8.0685847555815613</c:v>
                </c:pt>
                <c:pt idx="15">
                  <c:v>8.0827348383128879</c:v>
                </c:pt>
                <c:pt idx="16">
                  <c:v>8.0946677445201622</c:v>
                </c:pt>
                <c:pt idx="17">
                  <c:v>8.1005862254693923</c:v>
                </c:pt>
                <c:pt idx="18">
                  <c:v>8.1041670415640823</c:v>
                </c:pt>
                <c:pt idx="19">
                  <c:v>8.1043325932001693</c:v>
                </c:pt>
                <c:pt idx="20">
                  <c:v>8.1043630004564644</c:v>
                </c:pt>
                <c:pt idx="21">
                  <c:v>8.1043847804208973</c:v>
                </c:pt>
                <c:pt idx="22">
                  <c:v>8.1044016873015927</c:v>
                </c:pt>
                <c:pt idx="23">
                  <c:v>8.1044204062362173</c:v>
                </c:pt>
                <c:pt idx="24">
                  <c:v>8.1044311458601701</c:v>
                </c:pt>
                <c:pt idx="25">
                  <c:v>8.1044333679487188</c:v>
                </c:pt>
                <c:pt idx="26">
                  <c:v>8.1044320169487083</c:v>
                </c:pt>
                <c:pt idx="27">
                  <c:v>8.1044267226986744</c:v>
                </c:pt>
                <c:pt idx="28">
                  <c:v>8.1044227545263041</c:v>
                </c:pt>
                <c:pt idx="29">
                  <c:v>8.1044081378346959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7-4868-8158-FC610DF3140A}"/>
            </c:ext>
          </c:extLst>
        </c:ser>
        <c:ser>
          <c:idx val="2"/>
          <c:order val="2"/>
          <c:tx>
            <c:strRef>
              <c:f>'TRUCK inputs - sleeper'!$K$4:$K$5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sleeper'!$K$6:$K$35</c:f>
              <c:numCache>
                <c:formatCode>0.000</c:formatCode>
                <c:ptCount val="30"/>
                <c:pt idx="0">
                  <c:v>6.4994745530291773</c:v>
                </c:pt>
                <c:pt idx="1">
                  <c:v>6.7012534855663848</c:v>
                </c:pt>
                <c:pt idx="2">
                  <c:v>6.8609406454311026</c:v>
                </c:pt>
                <c:pt idx="3">
                  <c:v>7.0702485864037987</c:v>
                </c:pt>
                <c:pt idx="4">
                  <c:v>7.2795565273764931</c:v>
                </c:pt>
                <c:pt idx="5">
                  <c:v>7.43924368724121</c:v>
                </c:pt>
                <c:pt idx="6">
                  <c:v>7.6410226197784183</c:v>
                </c:pt>
                <c:pt idx="7">
                  <c:v>7.9313508994189945</c:v>
                </c:pt>
                <c:pt idx="8">
                  <c:v>8.1513935458479274</c:v>
                </c:pt>
                <c:pt idx="9">
                  <c:v>8.4020731011389866</c:v>
                </c:pt>
                <c:pt idx="10">
                  <c:v>8.6086181413368354</c:v>
                </c:pt>
                <c:pt idx="11">
                  <c:v>8.7380045678242517</c:v>
                </c:pt>
                <c:pt idx="12">
                  <c:v>8.8056882636367533</c:v>
                </c:pt>
                <c:pt idx="13">
                  <c:v>8.8377788925386387</c:v>
                </c:pt>
                <c:pt idx="14">
                  <c:v>8.8636735516732301</c:v>
                </c:pt>
                <c:pt idx="15">
                  <c:v>8.943638792492921</c:v>
                </c:pt>
                <c:pt idx="16">
                  <c:v>8.992396940980127</c:v>
                </c:pt>
                <c:pt idx="17">
                  <c:v>9.0679403273192083</c:v>
                </c:pt>
                <c:pt idx="18">
                  <c:v>9.1808344693286497</c:v>
                </c:pt>
                <c:pt idx="19">
                  <c:v>9.3407631645188953</c:v>
                </c:pt>
                <c:pt idx="20">
                  <c:v>9.5509677357290315</c:v>
                </c:pt>
                <c:pt idx="21">
                  <c:v>9.8016210751410089</c:v>
                </c:pt>
                <c:pt idx="22">
                  <c:v>10.06802201132518</c:v>
                </c:pt>
                <c:pt idx="23">
                  <c:v>10.318675350737157</c:v>
                </c:pt>
                <c:pt idx="24">
                  <c:v>10.528879921947295</c:v>
                </c:pt>
                <c:pt idx="25">
                  <c:v>10.688808617137539</c:v>
                </c:pt>
                <c:pt idx="26">
                  <c:v>10.801702759146982</c:v>
                </c:pt>
                <c:pt idx="27">
                  <c:v>10.877246145486064</c:v>
                </c:pt>
                <c:pt idx="28">
                  <c:v>10.92600429397327</c:v>
                </c:pt>
                <c:pt idx="29">
                  <c:v>11.00596953479296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47-4868-8158-FC610DF31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'TRUCK inputs - sleeper'!$I$4:$I$5</c15:sqref>
                        </c15:formulaRef>
                      </c:ext>
                    </c:extLst>
                    <c:strCache>
                      <c:ptCount val="2"/>
                      <c:pt idx="0">
                        <c:v>Sleeper</c:v>
                      </c:pt>
                      <c:pt idx="1">
                        <c:v>Std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sleeper'!$I$6:$I$35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7.0984299962274688</c:v>
                      </c:pt>
                      <c:pt idx="1">
                        <c:v>7.0984299962274688</c:v>
                      </c:pt>
                      <c:pt idx="2">
                        <c:v>7.0984299962274688</c:v>
                      </c:pt>
                      <c:pt idx="3">
                        <c:v>7.5762095081338403</c:v>
                      </c:pt>
                      <c:pt idx="4">
                        <c:v>7.5762095081338403</c:v>
                      </c:pt>
                      <c:pt idx="5">
                        <c:v>7.5762095081338403</c:v>
                      </c:pt>
                      <c:pt idx="6">
                        <c:v>8.2025293746111068</c:v>
                      </c:pt>
                      <c:pt idx="7">
                        <c:v>8.2025293746111068</c:v>
                      </c:pt>
                      <c:pt idx="8">
                        <c:v>8.2025293746111068</c:v>
                      </c:pt>
                      <c:pt idx="9">
                        <c:v>8.2025293746111068</c:v>
                      </c:pt>
                      <c:pt idx="10">
                        <c:v>8.2025293746111068</c:v>
                      </c:pt>
                      <c:pt idx="11">
                        <c:v>8.2025293746111068</c:v>
                      </c:pt>
                      <c:pt idx="12">
                        <c:v>8.2025293746111068</c:v>
                      </c:pt>
                      <c:pt idx="13">
                        <c:v>8.2025293746111068</c:v>
                      </c:pt>
                      <c:pt idx="14">
                        <c:v>8.2025293746111068</c:v>
                      </c:pt>
                      <c:pt idx="15">
                        <c:v>8.2025293746111068</c:v>
                      </c:pt>
                      <c:pt idx="16">
                        <c:v>8.2025293746111068</c:v>
                      </c:pt>
                      <c:pt idx="17">
                        <c:v>8.2025293746111068</c:v>
                      </c:pt>
                      <c:pt idx="18">
                        <c:v>8.2025293746111068</c:v>
                      </c:pt>
                      <c:pt idx="19">
                        <c:v>8.2025293746111068</c:v>
                      </c:pt>
                      <c:pt idx="20">
                        <c:v>8.2025293746111068</c:v>
                      </c:pt>
                      <c:pt idx="21">
                        <c:v>8.2025293746111068</c:v>
                      </c:pt>
                      <c:pt idx="22">
                        <c:v>8.2025293746111068</c:v>
                      </c:pt>
                      <c:pt idx="23">
                        <c:v>8.2025293746111068</c:v>
                      </c:pt>
                      <c:pt idx="24">
                        <c:v>8.2025293746111068</c:v>
                      </c:pt>
                      <c:pt idx="25">
                        <c:v>8.2025293746111068</c:v>
                      </c:pt>
                      <c:pt idx="26">
                        <c:v>8.2025293746111068</c:v>
                      </c:pt>
                      <c:pt idx="27">
                        <c:v>8.2025293746111068</c:v>
                      </c:pt>
                      <c:pt idx="28">
                        <c:v>8.2025293746111068</c:v>
                      </c:pt>
                      <c:pt idx="29">
                        <c:v>8.2025293746111068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F47-4868-8158-FC610DF3140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sleeper'!$L$4:$L$5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sleeper'!$L$6:$L$35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6.9255427244480288</c:v>
                      </c:pt>
                      <c:pt idx="1">
                        <c:v>7.1508261156028468</c:v>
                      </c:pt>
                      <c:pt idx="2">
                        <c:v>7.329114623951317</c:v>
                      </c:pt>
                      <c:pt idx="3">
                        <c:v>7.5628040490317403</c:v>
                      </c:pt>
                      <c:pt idx="4">
                        <c:v>7.7964934741121619</c:v>
                      </c:pt>
                      <c:pt idx="5">
                        <c:v>7.9747819824606321</c:v>
                      </c:pt>
                      <c:pt idx="6">
                        <c:v>8.2000653736154518</c:v>
                      </c:pt>
                      <c:pt idx="7">
                        <c:v>8.5216184131890618</c:v>
                      </c:pt>
                      <c:pt idx="8">
                        <c:v>8.765326610966552</c:v>
                      </c:pt>
                      <c:pt idx="9">
                        <c:v>9.0429667122429134</c:v>
                      </c:pt>
                      <c:pt idx="10">
                        <c:v>9.2717256384029589</c:v>
                      </c:pt>
                      <c:pt idx="11">
                        <c:v>9.4150275543172555</c:v>
                      </c:pt>
                      <c:pt idx="12">
                        <c:v>9.4899906207640683</c:v>
                      </c:pt>
                      <c:pt idx="13">
                        <c:v>9.5255325916599247</c:v>
                      </c:pt>
                      <c:pt idx="14">
                        <c:v>9.5542122172332906</c:v>
                      </c:pt>
                      <c:pt idx="15">
                        <c:v>9.6888543211359899</c:v>
                      </c:pt>
                      <c:pt idx="16">
                        <c:v>9.7709512375889833</c:v>
                      </c:pt>
                      <c:pt idx="17">
                        <c:v>9.8981480091908214</c:v>
                      </c:pt>
                      <c:pt idx="18">
                        <c:v>10.088234409764738</c:v>
                      </c:pt>
                      <c:pt idx="19">
                        <c:v>10.357515609622332</c:v>
                      </c:pt>
                      <c:pt idx="20">
                        <c:v>10.711449211617168</c:v>
                      </c:pt>
                      <c:pt idx="21">
                        <c:v>11.133488745578724</c:v>
                      </c:pt>
                      <c:pt idx="22">
                        <c:v>11.582043419607206</c:v>
                      </c:pt>
                      <c:pt idx="23">
                        <c:v>12.004082953568762</c:v>
                      </c:pt>
                      <c:pt idx="24">
                        <c:v>12.358016555563596</c:v>
                      </c:pt>
                      <c:pt idx="25">
                        <c:v>12.627297755421194</c:v>
                      </c:pt>
                      <c:pt idx="26">
                        <c:v>12.817384155995111</c:v>
                      </c:pt>
                      <c:pt idx="27">
                        <c:v>12.944580927596949</c:v>
                      </c:pt>
                      <c:pt idx="28">
                        <c:v>13.02667784404994</c:v>
                      </c:pt>
                      <c:pt idx="29">
                        <c:v>13.16131994795264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47-4868-8158-FC610DF3140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sleeper'!$M$4:$M$5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sleeper'!$M$6:$M$35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13.444232915384625</c:v>
                      </c:pt>
                      <c:pt idx="1">
                        <c:v>13.708325284148495</c:v>
                      </c:pt>
                      <c:pt idx="2">
                        <c:v>13.91732708517682</c:v>
                      </c:pt>
                      <c:pt idx="3">
                        <c:v>14.191273573234364</c:v>
                      </c:pt>
                      <c:pt idx="4">
                        <c:v>14.465220061291907</c:v>
                      </c:pt>
                      <c:pt idx="5">
                        <c:v>14.674221862320229</c:v>
                      </c:pt>
                      <c:pt idx="6">
                        <c:v>14.938314231084103</c:v>
                      </c:pt>
                      <c:pt idx="7">
                        <c:v>15.350414684274368</c:v>
                      </c:pt>
                      <c:pt idx="8">
                        <c:v>15.662749653595334</c:v>
                      </c:pt>
                      <c:pt idx="9">
                        <c:v>16.018571547586753</c:v>
                      </c:pt>
                      <c:pt idx="10">
                        <c:v>16.31174761977341</c:v>
                      </c:pt>
                      <c:pt idx="11">
                        <c:v>16.49540249851324</c:v>
                      </c:pt>
                      <c:pt idx="12">
                        <c:v>16.591474716322868</c:v>
                      </c:pt>
                      <c:pt idx="13">
                        <c:v>16.637025093743905</c:v>
                      </c:pt>
                      <c:pt idx="14">
                        <c:v>16.673780730424504</c:v>
                      </c:pt>
                      <c:pt idx="15">
                        <c:v>16.921158157944486</c:v>
                      </c:pt>
                      <c:pt idx="16">
                        <c:v>17.071994511587182</c:v>
                      </c:pt>
                      <c:pt idx="17">
                        <c:v>17.305692658271287</c:v>
                      </c:pt>
                      <c:pt idx="18">
                        <c:v>17.654937682060353</c:v>
                      </c:pt>
                      <c:pt idx="19">
                        <c:v>18.149687010609217</c:v>
                      </c:pt>
                      <c:pt idx="20">
                        <c:v>18.799967876969088</c:v>
                      </c:pt>
                      <c:pt idx="21">
                        <c:v>19.575379514168326</c:v>
                      </c:pt>
                      <c:pt idx="22">
                        <c:v>20.399507317781811</c:v>
                      </c:pt>
                      <c:pt idx="23">
                        <c:v>21.174918954981049</c:v>
                      </c:pt>
                      <c:pt idx="24">
                        <c:v>21.825199821340924</c:v>
                      </c:pt>
                      <c:pt idx="25">
                        <c:v>22.319949149889784</c:v>
                      </c:pt>
                      <c:pt idx="26">
                        <c:v>22.66919417367885</c:v>
                      </c:pt>
                      <c:pt idx="27">
                        <c:v>22.902892320362959</c:v>
                      </c:pt>
                      <c:pt idx="28">
                        <c:v>23.053728674005654</c:v>
                      </c:pt>
                      <c:pt idx="29">
                        <c:v>23.30110610152564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F47-4868-8158-FC610DF3140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sleeper'!$N$4:$N$5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sleeper'!$N$6:$N$35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8.6439710002843295</c:v>
                      </c:pt>
                      <c:pt idx="1">
                        <c:v>8.8705218665297902</c:v>
                      </c:pt>
                      <c:pt idx="2">
                        <c:v>9.0498134503474308</c:v>
                      </c:pt>
                      <c:pt idx="3">
                        <c:v>9.2848176440120707</c:v>
                      </c:pt>
                      <c:pt idx="4">
                        <c:v>9.5198218376767052</c:v>
                      </c:pt>
                      <c:pt idx="5">
                        <c:v>9.6991134214943475</c:v>
                      </c:pt>
                      <c:pt idx="6">
                        <c:v>9.9256642877398082</c:v>
                      </c:pt>
                      <c:pt idx="7">
                        <c:v>10.147600336386622</c:v>
                      </c:pt>
                      <c:pt idx="8">
                        <c:v>10.315807841155648</c:v>
                      </c:pt>
                      <c:pt idx="9">
                        <c:v>10.507435160570463</c:v>
                      </c:pt>
                      <c:pt idx="10">
                        <c:v>10.665324671526328</c:v>
                      </c:pt>
                      <c:pt idx="11">
                        <c:v>10.764231716608874</c:v>
                      </c:pt>
                      <c:pt idx="12">
                        <c:v>10.815971257879315</c:v>
                      </c:pt>
                      <c:pt idx="13">
                        <c:v>10.840502341747179</c:v>
                      </c:pt>
                      <c:pt idx="14">
                        <c:v>10.860297031870036</c:v>
                      </c:pt>
                      <c:pt idx="15">
                        <c:v>11.039725067293004</c:v>
                      </c:pt>
                      <c:pt idx="16">
                        <c:v>11.149129837468676</c:v>
                      </c:pt>
                      <c:pt idx="17">
                        <c:v>11.318636003661346</c:v>
                      </c:pt>
                      <c:pt idx="18">
                        <c:v>11.571950742713911</c:v>
                      </c:pt>
                      <c:pt idx="19">
                        <c:v>11.930802805079965</c:v>
                      </c:pt>
                      <c:pt idx="20">
                        <c:v>12.40246515315201</c:v>
                      </c:pt>
                      <c:pt idx="21">
                        <c:v>12.964887473173619</c:v>
                      </c:pt>
                      <c:pt idx="22">
                        <c:v>13.562644650221907</c:v>
                      </c:pt>
                      <c:pt idx="23">
                        <c:v>14.125066970243514</c:v>
                      </c:pt>
                      <c:pt idx="24">
                        <c:v>14.59672931831556</c:v>
                      </c:pt>
                      <c:pt idx="25">
                        <c:v>14.955581380681611</c:v>
                      </c:pt>
                      <c:pt idx="26">
                        <c:v>15.208896119734176</c:v>
                      </c:pt>
                      <c:pt idx="27">
                        <c:v>15.378402285926851</c:v>
                      </c:pt>
                      <c:pt idx="28">
                        <c:v>15.48780705610252</c:v>
                      </c:pt>
                      <c:pt idx="29">
                        <c:v>15.667235091525489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F47-4868-8158-FC610DF3140A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Sleeper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sleeper'!$AD$4:$AD$5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sleeper'!$AD$6:$AD$35</c:f>
              <c:numCache>
                <c:formatCode>"$"#,##0</c:formatCode>
                <c:ptCount val="30"/>
                <c:pt idx="0">
                  <c:v>0</c:v>
                </c:pt>
                <c:pt idx="1">
                  <c:v>354.46018971253989</c:v>
                </c:pt>
                <c:pt idx="2">
                  <c:v>634.97877640824061</c:v>
                </c:pt>
                <c:pt idx="3">
                  <c:v>1002.6649938573407</c:v>
                </c:pt>
                <c:pt idx="4">
                  <c:v>1370.3512113064376</c:v>
                </c:pt>
                <c:pt idx="5">
                  <c:v>1650.8697980021368</c:v>
                </c:pt>
                <c:pt idx="6">
                  <c:v>2005.3299877146783</c:v>
                </c:pt>
                <c:pt idx="7">
                  <c:v>2201.1991386476466</c:v>
                </c:pt>
                <c:pt idx="8">
                  <c:v>2349.6502863568376</c:v>
                </c:pt>
                <c:pt idx="9">
                  <c:v>2518.770537790489</c:v>
                </c:pt>
                <c:pt idx="10">
                  <c:v>2658.1155637144275</c:v>
                </c:pt>
                <c:pt idx="11">
                  <c:v>2745.4057496023306</c:v>
                </c:pt>
                <c:pt idx="12">
                  <c:v>2791.0683631348884</c:v>
                </c:pt>
                <c:pt idx="13">
                  <c:v>2812.7182149636487</c:v>
                </c:pt>
                <c:pt idx="14">
                  <c:v>2830.1879733511887</c:v>
                </c:pt>
                <c:pt idx="15">
                  <c:v>3020.2713817262761</c:v>
                </c:pt>
                <c:pt idx="16">
                  <c:v>3136.1731780005457</c:v>
                </c:pt>
                <c:pt idx="17">
                  <c:v>3315.7455047807161</c:v>
                </c:pt>
                <c:pt idx="18">
                  <c:v>3584.1033947684814</c:v>
                </c:pt>
                <c:pt idx="19">
                  <c:v>3964.2659649943262</c:v>
                </c:pt>
                <c:pt idx="20">
                  <c:v>4463.9380843060389</c:v>
                </c:pt>
                <c:pt idx="21">
                  <c:v>5059.7599762635509</c:v>
                </c:pt>
                <c:pt idx="22">
                  <c:v>5693.0150934260564</c:v>
                </c:pt>
                <c:pt idx="23">
                  <c:v>6288.8369853835684</c:v>
                </c:pt>
                <c:pt idx="24">
                  <c:v>6788.5091046952857</c:v>
                </c:pt>
                <c:pt idx="25">
                  <c:v>7168.6716749211255</c:v>
                </c:pt>
                <c:pt idx="26">
                  <c:v>7437.0295649088948</c:v>
                </c:pt>
                <c:pt idx="27">
                  <c:v>7616.6018916890653</c:v>
                </c:pt>
                <c:pt idx="28">
                  <c:v>7732.5036879633344</c:v>
                </c:pt>
                <c:pt idx="29">
                  <c:v>7922.5870963384223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9-44A4-BDA6-E0D4A66F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'TRUCK inputs - sleeper'!$AE$4:$AE$5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sleeper'!$AE$6:$AE$35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9699</c:v>
                      </c:pt>
                      <c:pt idx="1">
                        <c:v>9602.9014142927717</c:v>
                      </c:pt>
                      <c:pt idx="2">
                        <c:v>9526.849320916901</c:v>
                      </c:pt>
                      <c:pt idx="3">
                        <c:v>9427.1649938573391</c:v>
                      </c:pt>
                      <c:pt idx="4">
                        <c:v>9327.4806667977791</c:v>
                      </c:pt>
                      <c:pt idx="5">
                        <c:v>9251.4285734219065</c:v>
                      </c:pt>
                      <c:pt idx="6">
                        <c:v>9155.3299877146783</c:v>
                      </c:pt>
                      <c:pt idx="7">
                        <c:v>9165.9818765394029</c:v>
                      </c:pt>
                      <c:pt idx="8">
                        <c:v>9174.0550473974436</c:v>
                      </c:pt>
                      <c:pt idx="9">
                        <c:v>9183.2522594530437</c:v>
                      </c:pt>
                      <c:pt idx="10">
                        <c:v>9190.8302150287436</c:v>
                      </c:pt>
                      <c:pt idx="11">
                        <c:v>9195.5772890377884</c:v>
                      </c:pt>
                      <c:pt idx="12">
                        <c:v>9198.060544213391</c:v>
                      </c:pt>
                      <c:pt idx="13">
                        <c:v>9199.2379211186017</c:v>
                      </c:pt>
                      <c:pt idx="14">
                        <c:v>9200.1879733511887</c:v>
                      </c:pt>
                      <c:pt idx="15">
                        <c:v>9306.4725196387062</c:v>
                      </c:pt>
                      <c:pt idx="16">
                        <c:v>9371.2786483598993</c:v>
                      </c:pt>
                      <c:pt idx="17">
                        <c:v>9471.685956082214</c:v>
                      </c:pt>
                      <c:pt idx="18">
                        <c:v>9621.7374351873405</c:v>
                      </c:pt>
                      <c:pt idx="19">
                        <c:v>9834.3041533315063</c:v>
                      </c:pt>
                      <c:pt idx="20">
                        <c:v>10113.694263954798</c:v>
                      </c:pt>
                      <c:pt idx="21">
                        <c:v>10446.846220752168</c:v>
                      </c:pt>
                      <c:pt idx="22">
                        <c:v>10800.928848937441</c:v>
                      </c:pt>
                      <c:pt idx="23">
                        <c:v>11134.080805734813</c:v>
                      </c:pt>
                      <c:pt idx="24">
                        <c:v>11413.470916358103</c:v>
                      </c:pt>
                      <c:pt idx="25">
                        <c:v>11626.037634502272</c:v>
                      </c:pt>
                      <c:pt idx="26">
                        <c:v>11776.089113607397</c:v>
                      </c:pt>
                      <c:pt idx="27">
                        <c:v>11876.496421329713</c:v>
                      </c:pt>
                      <c:pt idx="28">
                        <c:v>11941.302550050905</c:v>
                      </c:pt>
                      <c:pt idx="29">
                        <c:v>12047.587096338422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849-44A4-BDA6-E0D4A66F5F5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sleeper'!$AF$4:$AF$5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sleeper'!$AF$6:$AF$35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740658</c:v>
                      </c:pt>
                      <c:pt idx="1">
                        <c:v>690931.14657713624</c:v>
                      </c:pt>
                      <c:pt idx="2">
                        <c:v>651577.48416918295</c:v>
                      </c:pt>
                      <c:pt idx="3">
                        <c:v>599995.16499385727</c:v>
                      </c:pt>
                      <c:pt idx="4">
                        <c:v>548412.8458185317</c:v>
                      </c:pt>
                      <c:pt idx="5">
                        <c:v>509059.18341057911</c:v>
                      </c:pt>
                      <c:pt idx="6">
                        <c:v>459332.32998771465</c:v>
                      </c:pt>
                      <c:pt idx="7">
                        <c:v>407688.73697089049</c:v>
                      </c:pt>
                      <c:pt idx="8">
                        <c:v>368547.552059145</c:v>
                      </c:pt>
                      <c:pt idx="9">
                        <c:v>323956.67394311365</c:v>
                      </c:pt>
                      <c:pt idx="10">
                        <c:v>287216.44316426408</c:v>
                      </c:pt>
                      <c:pt idx="11">
                        <c:v>264201.18622928811</c:v>
                      </c:pt>
                      <c:pt idx="12">
                        <c:v>252161.61073652987</c:v>
                      </c:pt>
                      <c:pt idx="13">
                        <c:v>246453.3298184094</c:v>
                      </c:pt>
                      <c:pt idx="14">
                        <c:v>241847.18797335122</c:v>
                      </c:pt>
                      <c:pt idx="15">
                        <c:v>234483.13057479609</c:v>
                      </c:pt>
                      <c:pt idx="16">
                        <c:v>229992.95708908531</c:v>
                      </c:pt>
                      <c:pt idx="17">
                        <c:v>223036.11149742885</c:v>
                      </c:pt>
                      <c:pt idx="18">
                        <c:v>212639.60755151126</c:v>
                      </c:pt>
                      <c:pt idx="19">
                        <c:v>197911.65726980605</c:v>
                      </c:pt>
                      <c:pt idx="20">
                        <c:v>178553.76486602385</c:v>
                      </c:pt>
                      <c:pt idx="21">
                        <c:v>155470.91587252976</c:v>
                      </c:pt>
                      <c:pt idx="22">
                        <c:v>130937.8591971601</c:v>
                      </c:pt>
                      <c:pt idx="23">
                        <c:v>107855.010203666</c:v>
                      </c:pt>
                      <c:pt idx="24">
                        <c:v>88497.117799883708</c:v>
                      </c:pt>
                      <c:pt idx="25">
                        <c:v>73769.167518178583</c:v>
                      </c:pt>
                      <c:pt idx="26">
                        <c:v>63372.663572260994</c:v>
                      </c:pt>
                      <c:pt idx="27">
                        <c:v>56415.81798060445</c:v>
                      </c:pt>
                      <c:pt idx="28">
                        <c:v>51925.644494893641</c:v>
                      </c:pt>
                      <c:pt idx="29">
                        <c:v>44561.587096338422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49-44A4-BDA6-E0D4A66F5F5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sleeper'!$AG$4:$AG$5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sleeper'!$AG$6:$AG$35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206108</c:v>
                      </c:pt>
                      <c:pt idx="1">
                        <c:v>189028.0097170748</c:v>
                      </c:pt>
                      <c:pt idx="2">
                        <c:v>175510.96358891009</c:v>
                      </c:pt>
                      <c:pt idx="3">
                        <c:v>157793.66499385721</c:v>
                      </c:pt>
                      <c:pt idx="4">
                        <c:v>140076.3663988047</c:v>
                      </c:pt>
                      <c:pt idx="5">
                        <c:v>126559.32027063987</c:v>
                      </c:pt>
                      <c:pt idx="6">
                        <c:v>109479.32998771468</c:v>
                      </c:pt>
                      <c:pt idx="7">
                        <c:v>104645.12572423878</c:v>
                      </c:pt>
                      <c:pt idx="8">
                        <c:v>100981.2349698481</c:v>
                      </c:pt>
                      <c:pt idx="9">
                        <c:v>96807.214524941635</c:v>
                      </c:pt>
                      <c:pt idx="10">
                        <c:v>93368.06999806207</c:v>
                      </c:pt>
                      <c:pt idx="11">
                        <c:v>91213.679749424511</c:v>
                      </c:pt>
                      <c:pt idx="12">
                        <c:v>90086.690634655271</c:v>
                      </c:pt>
                      <c:pt idx="13">
                        <c:v>89552.35531173335</c:v>
                      </c:pt>
                      <c:pt idx="14">
                        <c:v>89121.187973351189</c:v>
                      </c:pt>
                      <c:pt idx="15">
                        <c:v>86768.041239421364</c:v>
                      </c:pt>
                      <c:pt idx="16">
                        <c:v>85333.229355044721</c:v>
                      </c:pt>
                      <c:pt idx="17">
                        <c:v>83110.205063344809</c:v>
                      </c:pt>
                      <c:pt idx="18">
                        <c:v>79788.055604077366</c:v>
                      </c:pt>
                      <c:pt idx="19">
                        <c:v>75081.814706270758</c:v>
                      </c:pt>
                      <c:pt idx="20">
                        <c:v>68896.099573922285</c:v>
                      </c:pt>
                      <c:pt idx="21">
                        <c:v>61520.093687616529</c:v>
                      </c:pt>
                      <c:pt idx="22">
                        <c:v>53680.681382073082</c:v>
                      </c:pt>
                      <c:pt idx="23">
                        <c:v>46304.675495767347</c:v>
                      </c:pt>
                      <c:pt idx="24">
                        <c:v>40118.960363418861</c:v>
                      </c:pt>
                      <c:pt idx="25">
                        <c:v>35412.719465612288</c:v>
                      </c:pt>
                      <c:pt idx="26">
                        <c:v>32090.570006344853</c:v>
                      </c:pt>
                      <c:pt idx="27">
                        <c:v>29867.545714644868</c:v>
                      </c:pt>
                      <c:pt idx="28">
                        <c:v>28432.733830268277</c:v>
                      </c:pt>
                      <c:pt idx="29">
                        <c:v>26079.587096338422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49-44A4-BDA6-E0D4A66F5F5C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Incremental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</a:t>
            </a:r>
            <a:r>
              <a:rPr lang="en-US" baseline="0"/>
              <a:t> Roof Sleeper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sleeper'!$V$4:$V$5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sleeper'!$V$6:$V$35</c:f>
              <c:numCache>
                <c:formatCode>"$"#,##0</c:formatCode>
                <c:ptCount val="30"/>
                <c:pt idx="0">
                  <c:v>151412</c:v>
                </c:pt>
                <c:pt idx="1">
                  <c:v>153417.32998771474</c:v>
                </c:pt>
                <c:pt idx="2">
                  <c:v>155422.65997542947</c:v>
                </c:pt>
                <c:pt idx="3">
                  <c:v>157427.98996314421</c:v>
                </c:pt>
                <c:pt idx="4">
                  <c:v>159433.31995085895</c:v>
                </c:pt>
                <c:pt idx="5">
                  <c:v>161438.64993857368</c:v>
                </c:pt>
                <c:pt idx="6">
                  <c:v>163443.97992628836</c:v>
                </c:pt>
                <c:pt idx="7">
                  <c:v>163848.29249390995</c:v>
                </c:pt>
                <c:pt idx="8">
                  <c:v>164252.60506153153</c:v>
                </c:pt>
                <c:pt idx="9">
                  <c:v>164656.91762915312</c:v>
                </c:pt>
                <c:pt idx="10">
                  <c:v>165061.2301967747</c:v>
                </c:pt>
                <c:pt idx="11">
                  <c:v>165465.54276439629</c:v>
                </c:pt>
                <c:pt idx="12">
                  <c:v>165869.85533201788</c:v>
                </c:pt>
                <c:pt idx="13">
                  <c:v>166274.16789963946</c:v>
                </c:pt>
                <c:pt idx="14">
                  <c:v>166678.48046726114</c:v>
                </c:pt>
                <c:pt idx="15">
                  <c:v>167017.97374212695</c:v>
                </c:pt>
                <c:pt idx="16">
                  <c:v>167357.46701699277</c:v>
                </c:pt>
                <c:pt idx="17">
                  <c:v>167696.96029185859</c:v>
                </c:pt>
                <c:pt idx="18">
                  <c:v>168036.45356672441</c:v>
                </c:pt>
                <c:pt idx="19">
                  <c:v>168375.94684159022</c:v>
                </c:pt>
                <c:pt idx="20">
                  <c:v>168715.44011645604</c:v>
                </c:pt>
                <c:pt idx="21">
                  <c:v>169054.93339132186</c:v>
                </c:pt>
                <c:pt idx="22">
                  <c:v>169394.42666618768</c:v>
                </c:pt>
                <c:pt idx="23">
                  <c:v>169733.91994105349</c:v>
                </c:pt>
                <c:pt idx="24">
                  <c:v>170073.41321591931</c:v>
                </c:pt>
                <c:pt idx="25">
                  <c:v>170412.90649078513</c:v>
                </c:pt>
                <c:pt idx="26">
                  <c:v>170752.39976565095</c:v>
                </c:pt>
                <c:pt idx="27">
                  <c:v>171091.89304051676</c:v>
                </c:pt>
                <c:pt idx="28">
                  <c:v>171431.38631538258</c:v>
                </c:pt>
                <c:pt idx="29">
                  <c:v>171770.87959024837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FD-4891-B4B2-85B8C6802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'TRUCK inputs - sleeper'!$W$4:$W$5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sleeper'!$W$6:$W$35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161111</c:v>
                      </c:pt>
                      <c:pt idx="1">
                        <c:v>162691.49665438139</c:v>
                      </c:pt>
                      <c:pt idx="2">
                        <c:v>164271.99330876279</c:v>
                      </c:pt>
                      <c:pt idx="3">
                        <c:v>165852.48996314418</c:v>
                      </c:pt>
                      <c:pt idx="4">
                        <c:v>167432.98661752557</c:v>
                      </c:pt>
                      <c:pt idx="5">
                        <c:v>169013.48327190697</c:v>
                      </c:pt>
                      <c:pt idx="6">
                        <c:v>170593.97992628836</c:v>
                      </c:pt>
                      <c:pt idx="7">
                        <c:v>170900.79249390995</c:v>
                      </c:pt>
                      <c:pt idx="8">
                        <c:v>171207.60506153153</c:v>
                      </c:pt>
                      <c:pt idx="9">
                        <c:v>171514.41762915312</c:v>
                      </c:pt>
                      <c:pt idx="10">
                        <c:v>171821.2301967747</c:v>
                      </c:pt>
                      <c:pt idx="11">
                        <c:v>172128.04276439629</c:v>
                      </c:pt>
                      <c:pt idx="12">
                        <c:v>172434.85533201788</c:v>
                      </c:pt>
                      <c:pt idx="13">
                        <c:v>172741.66789963946</c:v>
                      </c:pt>
                      <c:pt idx="14">
                        <c:v>173048.48046726114</c:v>
                      </c:pt>
                      <c:pt idx="15">
                        <c:v>173238.3070754603</c:v>
                      </c:pt>
                      <c:pt idx="16">
                        <c:v>173428.13368365946</c:v>
                      </c:pt>
                      <c:pt idx="17">
                        <c:v>173617.96029185862</c:v>
                      </c:pt>
                      <c:pt idx="18">
                        <c:v>173807.78690005778</c:v>
                      </c:pt>
                      <c:pt idx="19">
                        <c:v>173997.61350825694</c:v>
                      </c:pt>
                      <c:pt idx="20">
                        <c:v>174187.4401164561</c:v>
                      </c:pt>
                      <c:pt idx="21">
                        <c:v>174377.26672465526</c:v>
                      </c:pt>
                      <c:pt idx="22">
                        <c:v>174567.09333285442</c:v>
                      </c:pt>
                      <c:pt idx="23">
                        <c:v>174756.91994105358</c:v>
                      </c:pt>
                      <c:pt idx="24">
                        <c:v>174946.74654925274</c:v>
                      </c:pt>
                      <c:pt idx="25">
                        <c:v>175136.5731574519</c:v>
                      </c:pt>
                      <c:pt idx="26">
                        <c:v>175326.39976565106</c:v>
                      </c:pt>
                      <c:pt idx="27">
                        <c:v>175516.22637385022</c:v>
                      </c:pt>
                      <c:pt idx="28">
                        <c:v>175706.05298204938</c:v>
                      </c:pt>
                      <c:pt idx="29">
                        <c:v>175895.87959024837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5FD-4891-B4B2-85B8C68022B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sleeper'!$X$4:$X$5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sleeper'!$X$6:$X$35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892070</c:v>
                      </c:pt>
                      <c:pt idx="1">
                        <c:v>846853.49665438139</c:v>
                      </c:pt>
                      <c:pt idx="2">
                        <c:v>801636.99330876279</c:v>
                      </c:pt>
                      <c:pt idx="3">
                        <c:v>756420.48996314418</c:v>
                      </c:pt>
                      <c:pt idx="4">
                        <c:v>711203.98661752557</c:v>
                      </c:pt>
                      <c:pt idx="5">
                        <c:v>665987.48327190697</c:v>
                      </c:pt>
                      <c:pt idx="6">
                        <c:v>620770.97992628836</c:v>
                      </c:pt>
                      <c:pt idx="7">
                        <c:v>593886.54249390995</c:v>
                      </c:pt>
                      <c:pt idx="8">
                        <c:v>567002.10506153153</c:v>
                      </c:pt>
                      <c:pt idx="9">
                        <c:v>540117.66762915312</c:v>
                      </c:pt>
                      <c:pt idx="10">
                        <c:v>513233.2301967747</c:v>
                      </c:pt>
                      <c:pt idx="11">
                        <c:v>486348.79276439629</c:v>
                      </c:pt>
                      <c:pt idx="12">
                        <c:v>459464.35533201788</c:v>
                      </c:pt>
                      <c:pt idx="13">
                        <c:v>432579.91789963946</c:v>
                      </c:pt>
                      <c:pt idx="14">
                        <c:v>405695.48046726116</c:v>
                      </c:pt>
                      <c:pt idx="15">
                        <c:v>392543.10707546031</c:v>
                      </c:pt>
                      <c:pt idx="16">
                        <c:v>379390.73368365946</c:v>
                      </c:pt>
                      <c:pt idx="17">
                        <c:v>366238.36029185861</c:v>
                      </c:pt>
                      <c:pt idx="18">
                        <c:v>353085.98690005776</c:v>
                      </c:pt>
                      <c:pt idx="19">
                        <c:v>339933.61350825691</c:v>
                      </c:pt>
                      <c:pt idx="20">
                        <c:v>326781.24011645606</c:v>
                      </c:pt>
                      <c:pt idx="21">
                        <c:v>313628.86672465521</c:v>
                      </c:pt>
                      <c:pt idx="22">
                        <c:v>300476.49333285436</c:v>
                      </c:pt>
                      <c:pt idx="23">
                        <c:v>287324.1199410535</c:v>
                      </c:pt>
                      <c:pt idx="24">
                        <c:v>274171.74654925265</c:v>
                      </c:pt>
                      <c:pt idx="25">
                        <c:v>261019.3731574518</c:v>
                      </c:pt>
                      <c:pt idx="26">
                        <c:v>247866.99976565095</c:v>
                      </c:pt>
                      <c:pt idx="27">
                        <c:v>234714.6263738501</c:v>
                      </c:pt>
                      <c:pt idx="28">
                        <c:v>221562.25298204925</c:v>
                      </c:pt>
                      <c:pt idx="29">
                        <c:v>208409.87959024837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FD-4891-B4B2-85B8C68022B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sleeper'!$Y$4:$Y$5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sleeper'!$Y$6:$Y$35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357520</c:v>
                      </c:pt>
                      <c:pt idx="1">
                        <c:v>343086.32998771471</c:v>
                      </c:pt>
                      <c:pt idx="2">
                        <c:v>328652.65997542941</c:v>
                      </c:pt>
                      <c:pt idx="3">
                        <c:v>314218.98996314412</c:v>
                      </c:pt>
                      <c:pt idx="4">
                        <c:v>299785.31995085883</c:v>
                      </c:pt>
                      <c:pt idx="5">
                        <c:v>285351.64993857354</c:v>
                      </c:pt>
                      <c:pt idx="6">
                        <c:v>270917.97992628836</c:v>
                      </c:pt>
                      <c:pt idx="7">
                        <c:v>268674.41749390995</c:v>
                      </c:pt>
                      <c:pt idx="8">
                        <c:v>266430.85506153153</c:v>
                      </c:pt>
                      <c:pt idx="9">
                        <c:v>264187.29262915312</c:v>
                      </c:pt>
                      <c:pt idx="10">
                        <c:v>261943.7301967747</c:v>
                      </c:pt>
                      <c:pt idx="11">
                        <c:v>259700.16776439629</c:v>
                      </c:pt>
                      <c:pt idx="12">
                        <c:v>257456.60533201788</c:v>
                      </c:pt>
                      <c:pt idx="13">
                        <c:v>255213.04289963946</c:v>
                      </c:pt>
                      <c:pt idx="14">
                        <c:v>252969.48046726114</c:v>
                      </c:pt>
                      <c:pt idx="15">
                        <c:v>248766.70707546029</c:v>
                      </c:pt>
                      <c:pt idx="16">
                        <c:v>244563.93368365944</c:v>
                      </c:pt>
                      <c:pt idx="17">
                        <c:v>240361.1602918586</c:v>
                      </c:pt>
                      <c:pt idx="18">
                        <c:v>236158.38690005775</c:v>
                      </c:pt>
                      <c:pt idx="19">
                        <c:v>231955.61350825691</c:v>
                      </c:pt>
                      <c:pt idx="20">
                        <c:v>227752.84011645606</c:v>
                      </c:pt>
                      <c:pt idx="21">
                        <c:v>223550.06672465522</c:v>
                      </c:pt>
                      <c:pt idx="22">
                        <c:v>219347.29333285437</c:v>
                      </c:pt>
                      <c:pt idx="23">
                        <c:v>215144.51994105353</c:v>
                      </c:pt>
                      <c:pt idx="24">
                        <c:v>210941.74654925268</c:v>
                      </c:pt>
                      <c:pt idx="25">
                        <c:v>206738.97315745184</c:v>
                      </c:pt>
                      <c:pt idx="26">
                        <c:v>202536.19976565099</c:v>
                      </c:pt>
                      <c:pt idx="27">
                        <c:v>198333.42637385015</c:v>
                      </c:pt>
                      <c:pt idx="28">
                        <c:v>194130.6529820493</c:v>
                      </c:pt>
                      <c:pt idx="29">
                        <c:v>189927.87959024837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FD-4891-B4B2-85B8C68022B9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Estimated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Sleeper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sleeper'!$AJ$4:$AJ$5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sleeper'!$AJ$6:$AJ$35</c:f>
              <c:numCache>
                <c:formatCode>"$"#,##0.000</c:formatCode>
                <c:ptCount val="30"/>
                <c:pt idx="0">
                  <c:v>0</c:v>
                </c:pt>
                <c:pt idx="1">
                  <c:v>1.9035093816361652</c:v>
                </c:pt>
                <c:pt idx="2">
                  <c:v>2.4171707737869932</c:v>
                </c:pt>
                <c:pt idx="3">
                  <c:v>2.8651293468527066</c:v>
                </c:pt>
                <c:pt idx="4">
                  <c:v>3.5880799082604313</c:v>
                </c:pt>
                <c:pt idx="5">
                  <c:v>6.1864357201777906</c:v>
                </c:pt>
                <c:pt idx="6">
                  <c:v>8.3775161255903665</c:v>
                </c:pt>
                <c:pt idx="7">
                  <c:v>4.2432594621059518</c:v>
                </c:pt>
                <c:pt idx="8">
                  <c:v>3.7526584338210394</c:v>
                </c:pt>
                <c:pt idx="9">
                  <c:v>3.1007893173478958</c:v>
                </c:pt>
                <c:pt idx="10">
                  <c:v>2.8081107214497467</c:v>
                </c:pt>
                <c:pt idx="11">
                  <c:v>2.68556849827019</c:v>
                </c:pt>
                <c:pt idx="12">
                  <c:v>2.5789565981190647</c:v>
                </c:pt>
                <c:pt idx="13">
                  <c:v>2.5659239454228802</c:v>
                </c:pt>
                <c:pt idx="14">
                  <c:v>2.5457207674616869</c:v>
                </c:pt>
                <c:pt idx="15">
                  <c:v>2.536085246619288</c:v>
                </c:pt>
                <c:pt idx="16">
                  <c:v>2.5428994211483587</c:v>
                </c:pt>
                <c:pt idx="17">
                  <c:v>2.5177975968296602</c:v>
                </c:pt>
                <c:pt idx="18">
                  <c:v>2.4767917722909978</c:v>
                </c:pt>
                <c:pt idx="19">
                  <c:v>2.4271279170377449</c:v>
                </c:pt>
                <c:pt idx="20">
                  <c:v>2.3885511334902261</c:v>
                </c:pt>
                <c:pt idx="21">
                  <c:v>2.3681301451232972</c:v>
                </c:pt>
                <c:pt idx="22">
                  <c:v>2.3656469526858444</c:v>
                </c:pt>
                <c:pt idx="23">
                  <c:v>2.3751367771736258</c:v>
                </c:pt>
                <c:pt idx="24">
                  <c:v>2.3892747953440128</c:v>
                </c:pt>
                <c:pt idx="25">
                  <c:v>2.4028965514866973</c:v>
                </c:pt>
                <c:pt idx="26">
                  <c:v>2.4137360244524659</c:v>
                </c:pt>
                <c:pt idx="27">
                  <c:v>2.4214802160287898</c:v>
                </c:pt>
                <c:pt idx="28">
                  <c:v>2.4266714723854164</c:v>
                </c:pt>
                <c:pt idx="29">
                  <c:v>2.4354816844801253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5F-466D-B945-9861E2221A0C}"/>
            </c:ext>
          </c:extLst>
        </c:ser>
        <c:ser>
          <c:idx val="1"/>
          <c:order val="1"/>
          <c:tx>
            <c:strRef>
              <c:f>'TRUCK inputs - sleeper'!$AK$4:$AK$5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sleeper'!$AK$6:$AK$35</c:f>
              <c:numCache>
                <c:formatCode>"$"#,##0.000</c:formatCode>
                <c:ptCount val="30"/>
                <c:pt idx="0">
                  <c:v>9.9820376221396394</c:v>
                </c:pt>
                <c:pt idx="1">
                  <c:v>8.5404890302241512</c:v>
                </c:pt>
                <c:pt idx="2">
                  <c:v>7.9806529388825025</c:v>
                </c:pt>
                <c:pt idx="3">
                  <c:v>7.4164246108610037</c:v>
                </c:pt>
                <c:pt idx="4">
                  <c:v>7.2152835079970634</c:v>
                </c:pt>
                <c:pt idx="5">
                  <c:v>7.9102323104940178</c:v>
                </c:pt>
                <c:pt idx="6">
                  <c:v>8.0906116374169983</c:v>
                </c:pt>
                <c:pt idx="7">
                  <c:v>6.5843574992489735</c:v>
                </c:pt>
                <c:pt idx="8">
                  <c:v>6.1762238274784362</c:v>
                </c:pt>
                <c:pt idx="9">
                  <c:v>5.5460901235476614</c:v>
                </c:pt>
                <c:pt idx="10">
                  <c:v>5.1710209218519134</c:v>
                </c:pt>
                <c:pt idx="11">
                  <c:v>4.9834486384905263</c:v>
                </c:pt>
                <c:pt idx="12">
                  <c:v>4.8382206791662723</c:v>
                </c:pt>
                <c:pt idx="13">
                  <c:v>4.8084475302339156</c:v>
                </c:pt>
                <c:pt idx="14">
                  <c:v>4.7739628043846647</c:v>
                </c:pt>
                <c:pt idx="15">
                  <c:v>4.5377232640230716</c:v>
                </c:pt>
                <c:pt idx="16">
                  <c:v>4.4216794620397044</c:v>
                </c:pt>
                <c:pt idx="17">
                  <c:v>4.2248749258207869</c:v>
                </c:pt>
                <c:pt idx="18">
                  <c:v>3.9647940778763493</c:v>
                </c:pt>
                <c:pt idx="19">
                  <c:v>3.6637009666619047</c:v>
                </c:pt>
                <c:pt idx="20">
                  <c:v>3.3676081061693917</c:v>
                </c:pt>
                <c:pt idx="21">
                  <c:v>3.111876472579493</c:v>
                </c:pt>
                <c:pt idx="22">
                  <c:v>2.9152943662663704</c:v>
                </c:pt>
                <c:pt idx="23">
                  <c:v>2.7776549214640398</c:v>
                </c:pt>
                <c:pt idx="24">
                  <c:v>2.687409749960425</c:v>
                </c:pt>
                <c:pt idx="25">
                  <c:v>2.6305783147699509</c:v>
                </c:pt>
                <c:pt idx="26">
                  <c:v>2.5955538197661987</c:v>
                </c:pt>
                <c:pt idx="27">
                  <c:v>2.5741831241139534</c:v>
                </c:pt>
                <c:pt idx="28">
                  <c:v>2.5611991289916554</c:v>
                </c:pt>
                <c:pt idx="29">
                  <c:v>2.5411800994387788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F-466D-B945-9861E2221A0C}"/>
            </c:ext>
          </c:extLst>
        </c:ser>
        <c:ser>
          <c:idx val="2"/>
          <c:order val="2"/>
          <c:tx>
            <c:strRef>
              <c:f>'TRUCK inputs - sleeper'!$AL$4:$AL$5</c:f>
              <c:strCache>
                <c:ptCount val="2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sleeper'!$AL$6:$AL$35</c:f>
              <c:numCache>
                <c:formatCode>"$"#,##0.000</c:formatCode>
                <c:ptCount val="30"/>
                <c:pt idx="0">
                  <c:v>92.897948253563598</c:v>
                </c:pt>
                <c:pt idx="1">
                  <c:v>88.42268217657967</c:v>
                </c:pt>
                <c:pt idx="2">
                  <c:v>85.143830632481539</c:v>
                </c:pt>
                <c:pt idx="3">
                  <c:v>80.567140047445307</c:v>
                </c:pt>
                <c:pt idx="4">
                  <c:v>76.106249077545414</c:v>
                </c:pt>
                <c:pt idx="5">
                  <c:v>73.836528371484633</c:v>
                </c:pt>
                <c:pt idx="6">
                  <c:v>69.255530029699798</c:v>
                </c:pt>
                <c:pt idx="7">
                  <c:v>61.654600054780559</c:v>
                </c:pt>
                <c:pt idx="8">
                  <c:v>56.617784262872469</c:v>
                </c:pt>
                <c:pt idx="9">
                  <c:v>50.059979714637919</c:v>
                </c:pt>
                <c:pt idx="10">
                  <c:v>44.652213183454705</c:v>
                </c:pt>
                <c:pt idx="11">
                  <c:v>41.254064307799645</c:v>
                </c:pt>
                <c:pt idx="12">
                  <c:v>39.3304949074383</c:v>
                </c:pt>
                <c:pt idx="13">
                  <c:v>38.505013878216303</c:v>
                </c:pt>
                <c:pt idx="14">
                  <c:v>37.810439717116886</c:v>
                </c:pt>
                <c:pt idx="15">
                  <c:v>36.28484077228854</c:v>
                </c:pt>
                <c:pt idx="16">
                  <c:v>35.40387457268799</c:v>
                </c:pt>
                <c:pt idx="17">
                  <c:v>33.966578828742243</c:v>
                </c:pt>
                <c:pt idx="18">
                  <c:v>31.8551987698415</c:v>
                </c:pt>
                <c:pt idx="19">
                  <c:v>28.979608045971801</c:v>
                </c:pt>
                <c:pt idx="20">
                  <c:v>25.43546336159444</c:v>
                </c:pt>
                <c:pt idx="21">
                  <c:v>21.501973363180195</c:v>
                </c:pt>
                <c:pt idx="22">
                  <c:v>17.606523418757831</c:v>
                </c:pt>
                <c:pt idx="23">
                  <c:v>14.160933691710976</c:v>
                </c:pt>
                <c:pt idx="24">
                  <c:v>11.408576259968722</c:v>
                </c:pt>
                <c:pt idx="25">
                  <c:v>9.3870280904251331</c:v>
                </c:pt>
                <c:pt idx="26">
                  <c:v>7.9938727391534687</c:v>
                </c:pt>
                <c:pt idx="27">
                  <c:v>7.0761467870549337</c:v>
                </c:pt>
                <c:pt idx="28">
                  <c:v>6.4896926781810667</c:v>
                </c:pt>
                <c:pt idx="29">
                  <c:v>5.5374428836144389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5F-466D-B945-9861E2221A0C}"/>
            </c:ext>
          </c:extLst>
        </c:ser>
        <c:ser>
          <c:idx val="3"/>
          <c:order val="3"/>
          <c:tx>
            <c:strRef>
              <c:f>'TRUCK inputs - sleeper'!$AM$4:$AM$5</c:f>
              <c:strCache>
                <c:ptCount val="2"/>
                <c:pt idx="0">
                  <c:v>FCEV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sleeper'!$A$6:$A$35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sleeper'!$AM$6:$AM$35</c:f>
              <c:numCache>
                <c:formatCode>"$"#,##0.000</c:formatCode>
                <c:ptCount val="30"/>
                <c:pt idx="0">
                  <c:v>53.643366422274404</c:v>
                </c:pt>
                <c:pt idx="1">
                  <c:v>49.283779862380527</c:v>
                </c:pt>
                <c:pt idx="2">
                  <c:v>46.3333576537526</c:v>
                </c:pt>
                <c:pt idx="3">
                  <c:v>42.378257955352694</c:v>
                </c:pt>
                <c:pt idx="4">
                  <c:v>38.752722839983242</c:v>
                </c:pt>
                <c:pt idx="5">
                  <c:v>37.235824072688743</c:v>
                </c:pt>
                <c:pt idx="6">
                  <c:v>33.668010013282391</c:v>
                </c:pt>
                <c:pt idx="7">
                  <c:v>31.978116601198725</c:v>
                </c:pt>
                <c:pt idx="8">
                  <c:v>31.555548720999717</c:v>
                </c:pt>
                <c:pt idx="9">
                  <c:v>30.280131434169821</c:v>
                </c:pt>
                <c:pt idx="10">
                  <c:v>29.29955822053368</c:v>
                </c:pt>
                <c:pt idx="11">
                  <c:v>28.715018191621688</c:v>
                </c:pt>
                <c:pt idx="12">
                  <c:v>28.214195978320998</c:v>
                </c:pt>
                <c:pt idx="13">
                  <c:v>28.102995597149889</c:v>
                </c:pt>
                <c:pt idx="14">
                  <c:v>27.973665631074404</c:v>
                </c:pt>
                <c:pt idx="15">
                  <c:v>26.183427316802192</c:v>
                </c:pt>
                <c:pt idx="16">
                  <c:v>25.212937198159526</c:v>
                </c:pt>
                <c:pt idx="17">
                  <c:v>23.679478797558659</c:v>
                </c:pt>
                <c:pt idx="18">
                  <c:v>21.577485875943268</c:v>
                </c:pt>
                <c:pt idx="19">
                  <c:v>18.972446961220772</c:v>
                </c:pt>
                <c:pt idx="20">
                  <c:v>16.111827494289358</c:v>
                </c:pt>
                <c:pt idx="21">
                  <c:v>13.299172039308701</c:v>
                </c:pt>
                <c:pt idx="22">
                  <c:v>10.810119570171999</c:v>
                </c:pt>
                <c:pt idx="23">
                  <c:v>8.8042869536573392</c:v>
                </c:pt>
                <c:pt idx="24">
                  <c:v>7.3102007608644879</c:v>
                </c:pt>
                <c:pt idx="25">
                  <c:v>6.2650116833835297</c:v>
                </c:pt>
                <c:pt idx="26">
                  <c:v>5.5675789506939948</c:v>
                </c:pt>
                <c:pt idx="27">
                  <c:v>5.1175396563315205</c:v>
                </c:pt>
                <c:pt idx="28">
                  <c:v>4.8336495788086591</c:v>
                </c:pt>
                <c:pt idx="29">
                  <c:v>4.3785489773753099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5F-466D-B945-9861E222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Cost/gal saved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Roof</a:t>
            </a:r>
            <a:r>
              <a:rPr lang="en-US" baseline="0"/>
              <a:t> Day Cab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day'!$B$4:$B$5</c:f>
              <c:strCache>
                <c:ptCount val="2"/>
                <c:pt idx="0">
                  <c:v>HR Standard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day'!$B$6:$B$35</c:f>
              <c:numCache>
                <c:formatCode>0.000</c:formatCode>
                <c:ptCount val="30"/>
                <c:pt idx="0">
                  <c:v>6.2592260992703235</c:v>
                </c:pt>
                <c:pt idx="1">
                  <c:v>6.2592260992703235</c:v>
                </c:pt>
                <c:pt idx="2">
                  <c:v>6.2592260992703235</c:v>
                </c:pt>
                <c:pt idx="3">
                  <c:v>6.6640472518268812</c:v>
                </c:pt>
                <c:pt idx="4">
                  <c:v>6.6640472518268812</c:v>
                </c:pt>
                <c:pt idx="5">
                  <c:v>6.6640472518268812</c:v>
                </c:pt>
                <c:pt idx="6">
                  <c:v>7.0777995262828766</c:v>
                </c:pt>
                <c:pt idx="7">
                  <c:v>7.0777995262828766</c:v>
                </c:pt>
                <c:pt idx="8">
                  <c:v>7.0777995262828766</c:v>
                </c:pt>
                <c:pt idx="9">
                  <c:v>7.0777995262828766</c:v>
                </c:pt>
                <c:pt idx="10">
                  <c:v>7.0777995262828766</c:v>
                </c:pt>
                <c:pt idx="11">
                  <c:v>7.0777995262828766</c:v>
                </c:pt>
                <c:pt idx="12">
                  <c:v>7.0777995262828766</c:v>
                </c:pt>
                <c:pt idx="13">
                  <c:v>7.0777995262828766</c:v>
                </c:pt>
                <c:pt idx="14">
                  <c:v>7.0777995262828766</c:v>
                </c:pt>
                <c:pt idx="15">
                  <c:v>7.0777995262828766</c:v>
                </c:pt>
                <c:pt idx="16">
                  <c:v>7.0777995262828766</c:v>
                </c:pt>
                <c:pt idx="17">
                  <c:v>7.0777995262828766</c:v>
                </c:pt>
                <c:pt idx="18">
                  <c:v>7.0777995262828766</c:v>
                </c:pt>
                <c:pt idx="19">
                  <c:v>7.0777995262828766</c:v>
                </c:pt>
                <c:pt idx="20">
                  <c:v>7.0777995262828766</c:v>
                </c:pt>
                <c:pt idx="21">
                  <c:v>7.0777995262828766</c:v>
                </c:pt>
                <c:pt idx="22">
                  <c:v>7.0777995262828766</c:v>
                </c:pt>
                <c:pt idx="23">
                  <c:v>7.0777995262828766</c:v>
                </c:pt>
                <c:pt idx="24">
                  <c:v>7.0777995262828766</c:v>
                </c:pt>
                <c:pt idx="25">
                  <c:v>7.0777995262828766</c:v>
                </c:pt>
                <c:pt idx="26">
                  <c:v>7.0777995262828766</c:v>
                </c:pt>
                <c:pt idx="27">
                  <c:v>7.0777995262828766</c:v>
                </c:pt>
                <c:pt idx="28">
                  <c:v>7.0777995262828766</c:v>
                </c:pt>
                <c:pt idx="29">
                  <c:v>7.0777995262828766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2-478F-A6B5-A449C8CCD7DE}"/>
            </c:ext>
          </c:extLst>
        </c:ser>
        <c:ser>
          <c:idx val="1"/>
          <c:order val="1"/>
          <c:tx>
            <c:strRef>
              <c:f>'TRUCK inputs - day'!$C$4:$C$5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day'!$C$6:$C$35</c:f>
              <c:numCache>
                <c:formatCode>0.000</c:formatCode>
                <c:ptCount val="30"/>
                <c:pt idx="0">
                  <c:v>6.999934412031342</c:v>
                </c:pt>
                <c:pt idx="1">
                  <c:v>7.1127175355691081</c:v>
                </c:pt>
                <c:pt idx="2">
                  <c:v>7.240634654926323</c:v>
                </c:pt>
                <c:pt idx="3">
                  <c:v>7.443174453673512</c:v>
                </c:pt>
                <c:pt idx="4">
                  <c:v>7.6705108487162645</c:v>
                </c:pt>
                <c:pt idx="5">
                  <c:v>7.8451716452004394</c:v>
                </c:pt>
                <c:pt idx="6">
                  <c:v>8.0253888455054891</c:v>
                </c:pt>
                <c:pt idx="7">
                  <c:v>8.3555439225245838</c:v>
                </c:pt>
                <c:pt idx="8">
                  <c:v>8.6037562255777349</c:v>
                </c:pt>
                <c:pt idx="9">
                  <c:v>8.9129502089594848</c:v>
                </c:pt>
                <c:pt idx="10">
                  <c:v>9.2052114980954389</c:v>
                </c:pt>
                <c:pt idx="11">
                  <c:v>9.4176429027124833</c:v>
                </c:pt>
                <c:pt idx="12">
                  <c:v>9.5443738873520285</c:v>
                </c:pt>
                <c:pt idx="13">
                  <c:v>9.6112637919939683</c:v>
                </c:pt>
                <c:pt idx="14">
                  <c:v>9.6739488004803249</c:v>
                </c:pt>
                <c:pt idx="15">
                  <c:v>9.7627948883432438</c:v>
                </c:pt>
                <c:pt idx="16">
                  <c:v>9.8169680603380023</c:v>
                </c:pt>
                <c:pt idx="17">
                  <c:v>9.9009012076823382</c:v>
                </c:pt>
                <c:pt idx="18">
                  <c:v>10.026333242368461</c:v>
                </c:pt>
                <c:pt idx="19">
                  <c:v>10.204023433244188</c:v>
                </c:pt>
                <c:pt idx="20">
                  <c:v>10.437573080709566</c:v>
                </c:pt>
                <c:pt idx="21">
                  <c:v>10.716063689732362</c:v>
                </c:pt>
                <c:pt idx="22">
                  <c:v>11.012050805388672</c:v>
                </c:pt>
                <c:pt idx="23">
                  <c:v>11.29054141441147</c:v>
                </c:pt>
                <c:pt idx="24">
                  <c:v>11.524091061876847</c:v>
                </c:pt>
                <c:pt idx="25">
                  <c:v>11.701781252752575</c:v>
                </c:pt>
                <c:pt idx="26">
                  <c:v>11.827213287438697</c:v>
                </c:pt>
                <c:pt idx="27">
                  <c:v>11.911146434783033</c:v>
                </c:pt>
                <c:pt idx="28">
                  <c:v>11.965319606777793</c:v>
                </c:pt>
                <c:pt idx="29">
                  <c:v>12.054165694640711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2-478F-A6B5-A449C8CCD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day'!$D$4:$D$5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day'!$D$6:$D$35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7.4104863651829067</c:v>
                      </c:pt>
                      <c:pt idx="1">
                        <c:v>7.5326360236828904</c:v>
                      </c:pt>
                      <c:pt idx="2">
                        <c:v>7.6711765424738356</c:v>
                      </c:pt>
                      <c:pt idx="3">
                        <c:v>7.8905370857322428</c:v>
                      </c:pt>
                      <c:pt idx="4">
                        <c:v>8.1367535598644825</c:v>
                      </c:pt>
                      <c:pt idx="5">
                        <c:v>8.3259197752932739</c:v>
                      </c:pt>
                      <c:pt idx="6">
                        <c:v>8.5211038487837865</c:v>
                      </c:pt>
                      <c:pt idx="7">
                        <c:v>8.894563235531761</c:v>
                      </c:pt>
                      <c:pt idx="8">
                        <c:v>9.1753319437354239</c:v>
                      </c:pt>
                      <c:pt idx="9">
                        <c:v>9.5250809055338621</c:v>
                      </c:pt>
                      <c:pt idx="10">
                        <c:v>9.8556762209121942</c:v>
                      </c:pt>
                      <c:pt idx="11">
                        <c:v>10.095970881259653</c:v>
                      </c:pt>
                      <c:pt idx="12">
                        <c:v>10.239324350886033</c:v>
                      </c:pt>
                      <c:pt idx="13">
                        <c:v>10.314987772429493</c:v>
                      </c:pt>
                      <c:pt idx="14">
                        <c:v>10.38589476873854</c:v>
                      </c:pt>
                      <c:pt idx="15">
                        <c:v>10.532406658269835</c:v>
                      </c:pt>
                      <c:pt idx="16">
                        <c:v>10.621741078971645</c:v>
                      </c:pt>
                      <c:pt idx="17">
                        <c:v>10.76015127020821</c:v>
                      </c:pt>
                      <c:pt idx="18">
                        <c:v>10.966995317612675</c:v>
                      </c:pt>
                      <c:pt idx="19">
                        <c:v>11.260015823552644</c:v>
                      </c:pt>
                      <c:pt idx="20">
                        <c:v>11.6451515225191</c:v>
                      </c:pt>
                      <c:pt idx="21">
                        <c:v>12.104397239759965</c:v>
                      </c:pt>
                      <c:pt idx="22">
                        <c:v>12.592495620170741</c:v>
                      </c:pt>
                      <c:pt idx="23">
                        <c:v>13.051741337411606</c:v>
                      </c:pt>
                      <c:pt idx="24">
                        <c:v>13.436877036378062</c:v>
                      </c:pt>
                      <c:pt idx="25">
                        <c:v>13.729897542318032</c:v>
                      </c:pt>
                      <c:pt idx="26">
                        <c:v>13.936741589722496</c:v>
                      </c:pt>
                      <c:pt idx="27">
                        <c:v>14.075151780959061</c:v>
                      </c:pt>
                      <c:pt idx="28">
                        <c:v>14.164486201660871</c:v>
                      </c:pt>
                      <c:pt idx="29">
                        <c:v>14.310998091192166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462-478F-A6B5-A449C8CCD7D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day'!$E$4:$E$5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day'!$E$6:$E$35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14.901348039535684</c:v>
                      </c:pt>
                      <c:pt idx="1">
                        <c:v>15.039191361709776</c:v>
                      </c:pt>
                      <c:pt idx="2">
                        <c:v>15.195531425205482</c:v>
                      </c:pt>
                      <c:pt idx="3">
                        <c:v>15.443075187570212</c:v>
                      </c:pt>
                      <c:pt idx="4">
                        <c:v>15.720925303445764</c:v>
                      </c:pt>
                      <c:pt idx="5">
                        <c:v>15.934395401504272</c:v>
                      </c:pt>
                      <c:pt idx="6">
                        <c:v>16.154656525897085</c:v>
                      </c:pt>
                      <c:pt idx="7">
                        <c:v>16.668193195292154</c:v>
                      </c:pt>
                      <c:pt idx="8">
                        <c:v>17.054272732713361</c:v>
                      </c:pt>
                      <c:pt idx="9">
                        <c:v>17.535205662342896</c:v>
                      </c:pt>
                      <c:pt idx="10">
                        <c:v>17.989800788884921</c:v>
                      </c:pt>
                      <c:pt idx="11">
                        <c:v>18.320225257855437</c:v>
                      </c:pt>
                      <c:pt idx="12">
                        <c:v>18.517347799021707</c:v>
                      </c:pt>
                      <c:pt idx="13">
                        <c:v>18.621391084244273</c:v>
                      </c:pt>
                      <c:pt idx="14">
                        <c:v>18.7188939025251</c:v>
                      </c:pt>
                      <c:pt idx="15">
                        <c:v>18.980824487311097</c:v>
                      </c:pt>
                      <c:pt idx="16">
                        <c:v>19.140534509008315</c:v>
                      </c:pt>
                      <c:pt idx="17">
                        <c:v>19.387981064007462</c:v>
                      </c:pt>
                      <c:pt idx="18">
                        <c:v>19.757772092363428</c:v>
                      </c:pt>
                      <c:pt idx="19">
                        <c:v>20.281627410322116</c:v>
                      </c:pt>
                      <c:pt idx="20">
                        <c:v>20.970164150752996</c:v>
                      </c:pt>
                      <c:pt idx="21">
                        <c:v>21.791193076543149</c:v>
                      </c:pt>
                      <c:pt idx="22">
                        <c:v>22.663804129633025</c:v>
                      </c:pt>
                      <c:pt idx="23">
                        <c:v>23.484833055423177</c:v>
                      </c:pt>
                      <c:pt idx="24">
                        <c:v>24.173369795854057</c:v>
                      </c:pt>
                      <c:pt idx="25">
                        <c:v>24.697225113812745</c:v>
                      </c:pt>
                      <c:pt idx="26">
                        <c:v>25.067016142168711</c:v>
                      </c:pt>
                      <c:pt idx="27">
                        <c:v>25.314462697167862</c:v>
                      </c:pt>
                      <c:pt idx="28">
                        <c:v>25.474172718865077</c:v>
                      </c:pt>
                      <c:pt idx="29">
                        <c:v>25.736103303651074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62-478F-A6B5-A449C8CCD7D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day'!$F$4:$F$5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day'!$F$6:$F$35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9.4536612799944049</c:v>
                      </c:pt>
                      <c:pt idx="1">
                        <c:v>9.5661542328818197</c:v>
                      </c:pt>
                      <c:pt idx="2">
                        <c:v>9.6937422445449872</c:v>
                      </c:pt>
                      <c:pt idx="3">
                        <c:v>9.8957609448930448</c:v>
                      </c:pt>
                      <c:pt idx="4">
                        <c:v>10.122512444363403</c:v>
                      </c:pt>
                      <c:pt idx="5">
                        <c:v>10.296723870096734</c:v>
                      </c:pt>
                      <c:pt idx="6">
                        <c:v>10.476477404025321</c:v>
                      </c:pt>
                      <c:pt idx="7">
                        <c:v>10.792051721786004</c:v>
                      </c:pt>
                      <c:pt idx="8">
                        <c:v>11.029302134237714</c:v>
                      </c:pt>
                      <c:pt idx="9">
                        <c:v>11.324841070795578</c:v>
                      </c:pt>
                      <c:pt idx="10">
                        <c:v>11.604195117868441</c:v>
                      </c:pt>
                      <c:pt idx="11">
                        <c:v>11.807244836770963</c:v>
                      </c:pt>
                      <c:pt idx="12">
                        <c:v>11.928378954646275</c:v>
                      </c:pt>
                      <c:pt idx="13">
                        <c:v>11.992314775997393</c:v>
                      </c:pt>
                      <c:pt idx="14">
                        <c:v>12.052231403557721</c:v>
                      </c:pt>
                      <c:pt idx="15">
                        <c:v>12.24407286378408</c:v>
                      </c:pt>
                      <c:pt idx="16">
                        <c:v>12.361046617728128</c:v>
                      </c:pt>
                      <c:pt idx="17">
                        <c:v>12.542279781002296</c:v>
                      </c:pt>
                      <c:pt idx="18">
                        <c:v>12.813119671335746</c:v>
                      </c:pt>
                      <c:pt idx="19">
                        <c:v>13.19679830598869</c:v>
                      </c:pt>
                      <c:pt idx="20">
                        <c:v>13.701091814941369</c:v>
                      </c:pt>
                      <c:pt idx="21">
                        <c:v>14.302424370818144</c:v>
                      </c:pt>
                      <c:pt idx="22">
                        <c:v>14.941536365972111</c:v>
                      </c:pt>
                      <c:pt idx="23">
                        <c:v>15.542868921848886</c:v>
                      </c:pt>
                      <c:pt idx="24">
                        <c:v>16.047162430801563</c:v>
                      </c:pt>
                      <c:pt idx="25">
                        <c:v>16.430841065454509</c:v>
                      </c:pt>
                      <c:pt idx="26">
                        <c:v>16.70168095578796</c:v>
                      </c:pt>
                      <c:pt idx="27">
                        <c:v>16.882914119062129</c:v>
                      </c:pt>
                      <c:pt idx="28">
                        <c:v>16.999887873006177</c:v>
                      </c:pt>
                      <c:pt idx="29">
                        <c:v>17.191729333232534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62-478F-A6B5-A449C8CCD7DE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Day Cab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'TRUCK inputs - day'!$J$4:$J$5</c:f>
              <c:strCache>
                <c:ptCount val="2"/>
                <c:pt idx="0">
                  <c:v>Diesel</c:v>
                </c:pt>
                <c:pt idx="1">
                  <c:v>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day'!$J$6:$J$35</c:f>
              <c:numCache>
                <c:formatCode>0.000</c:formatCode>
                <c:ptCount val="30"/>
                <c:pt idx="0">
                  <c:v>6.3480818446503209</c:v>
                </c:pt>
                <c:pt idx="1">
                  <c:v>6.4291000607445872</c:v>
                </c:pt>
                <c:pt idx="2">
                  <c:v>6.5254599640226782</c:v>
                </c:pt>
                <c:pt idx="3">
                  <c:v>6.6581303524586453</c:v>
                </c:pt>
                <c:pt idx="4">
                  <c:v>6.8086034138932883</c:v>
                </c:pt>
                <c:pt idx="5">
                  <c:v>6.9782165360518356</c:v>
                </c:pt>
                <c:pt idx="6">
                  <c:v>7.1454647701784486</c:v>
                </c:pt>
                <c:pt idx="7">
                  <c:v>7.2213425095119215</c:v>
                </c:pt>
                <c:pt idx="8">
                  <c:v>7.2751615022591807</c:v>
                </c:pt>
                <c:pt idx="9">
                  <c:v>7.306923194516302</c:v>
                </c:pt>
                <c:pt idx="10">
                  <c:v>7.3125555989863509</c:v>
                </c:pt>
                <c:pt idx="11">
                  <c:v>7.3181923450895683</c:v>
                </c:pt>
                <c:pt idx="12">
                  <c:v>7.3238334361726238</c:v>
                </c:pt>
                <c:pt idx="13">
                  <c:v>7.3294788755847629</c:v>
                </c:pt>
                <c:pt idx="14">
                  <c:v>7.3351272149996589</c:v>
                </c:pt>
                <c:pt idx="15">
                  <c:v>7.3355433916329638</c:v>
                </c:pt>
                <c:pt idx="16">
                  <c:v>7.3359595682662686</c:v>
                </c:pt>
                <c:pt idx="17">
                  <c:v>7.3363757448995734</c:v>
                </c:pt>
                <c:pt idx="18">
                  <c:v>7.3367919215328783</c:v>
                </c:pt>
                <c:pt idx="19">
                  <c:v>7.3372080981661831</c:v>
                </c:pt>
                <c:pt idx="20">
                  <c:v>7.337624274799488</c:v>
                </c:pt>
                <c:pt idx="21">
                  <c:v>7.3380404514327937</c:v>
                </c:pt>
                <c:pt idx="22">
                  <c:v>7.3384566280660994</c:v>
                </c:pt>
                <c:pt idx="23">
                  <c:v>7.3388728046994043</c:v>
                </c:pt>
                <c:pt idx="24">
                  <c:v>7.3392889813327091</c:v>
                </c:pt>
                <c:pt idx="25">
                  <c:v>7.3397051579660149</c:v>
                </c:pt>
                <c:pt idx="26">
                  <c:v>7.3401213345993206</c:v>
                </c:pt>
                <c:pt idx="27">
                  <c:v>7.3405375112326254</c:v>
                </c:pt>
                <c:pt idx="28">
                  <c:v>7.3409536878659303</c:v>
                </c:pt>
                <c:pt idx="29">
                  <c:v>7.341369864499236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0-426F-960F-149B6B9091F7}"/>
            </c:ext>
          </c:extLst>
        </c:ser>
        <c:ser>
          <c:idx val="2"/>
          <c:order val="2"/>
          <c:tx>
            <c:strRef>
              <c:f>'TRUCK inputs - day'!$K$4:$K$5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day'!$K$6:$K$35</c:f>
              <c:numCache>
                <c:formatCode>0.000</c:formatCode>
                <c:ptCount val="30"/>
                <c:pt idx="0">
                  <c:v>7.0993052255995961</c:v>
                </c:pt>
                <c:pt idx="1">
                  <c:v>7.2136894142449801</c:v>
                </c:pt>
                <c:pt idx="2">
                  <c:v>7.3434224403624055</c:v>
                </c:pt>
                <c:pt idx="3">
                  <c:v>7.5488374867043246</c:v>
                </c:pt>
                <c:pt idx="4">
                  <c:v>7.7794011409182842</c:v>
                </c:pt>
                <c:pt idx="5">
                  <c:v>7.9565414156980392</c:v>
                </c:pt>
                <c:pt idx="6">
                  <c:v>8.1393169728046217</c:v>
                </c:pt>
                <c:pt idx="7">
                  <c:v>8.47415891925362</c:v>
                </c:pt>
                <c:pt idx="8">
                  <c:v>8.7258948351065779</c:v>
                </c:pt>
                <c:pt idx="9">
                  <c:v>9.0394781249975775</c:v>
                </c:pt>
                <c:pt idx="10">
                  <c:v>9.3358883447329433</c:v>
                </c:pt>
                <c:pt idx="11">
                  <c:v>9.5513354178208179</c:v>
                </c:pt>
                <c:pt idx="12">
                  <c:v>9.6798654708953897</c:v>
                </c:pt>
                <c:pt idx="13">
                  <c:v>9.7477049421836028</c:v>
                </c:pt>
                <c:pt idx="14">
                  <c:v>9.8112798247637976</c:v>
                </c:pt>
                <c:pt idx="15">
                  <c:v>9.9013871684490748</c:v>
                </c:pt>
                <c:pt idx="16">
                  <c:v>9.9563293808173317</c:v>
                </c:pt>
                <c:pt idx="17">
                  <c:v>10.041454040059637</c:v>
                </c:pt>
                <c:pt idx="18">
                  <c:v>10.16866670333463</c:v>
                </c:pt>
                <c:pt idx="19">
                  <c:v>10.348879377678212</c:v>
                </c:pt>
                <c:pt idx="20">
                  <c:v>10.585744487419539</c:v>
                </c:pt>
                <c:pt idx="21">
                  <c:v>10.868188538969189</c:v>
                </c:pt>
                <c:pt idx="22">
                  <c:v>11.168377476922283</c:v>
                </c:pt>
                <c:pt idx="23">
                  <c:v>11.450821528471934</c:v>
                </c:pt>
                <c:pt idx="24">
                  <c:v>11.687686638213263</c:v>
                </c:pt>
                <c:pt idx="25">
                  <c:v>11.867899312556846</c:v>
                </c:pt>
                <c:pt idx="26">
                  <c:v>11.995111975831838</c:v>
                </c:pt>
                <c:pt idx="27">
                  <c:v>12.080236635074145</c:v>
                </c:pt>
                <c:pt idx="28">
                  <c:v>12.135178847442406</c:v>
                </c:pt>
                <c:pt idx="29">
                  <c:v>12.22528619112768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D0-426F-960F-149B6B90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'TRUCK inputs - day'!$I$4:$I$5</c15:sqref>
                        </c15:formulaRef>
                      </c:ext>
                    </c:extLst>
                    <c:strCache>
                      <c:ptCount val="2"/>
                      <c:pt idx="0">
                        <c:v>7&amp;8 Day</c:v>
                      </c:pt>
                      <c:pt idx="1">
                        <c:v>Std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day'!$I$6:$I$35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6.3965130675864632</c:v>
                      </c:pt>
                      <c:pt idx="1">
                        <c:v>6.3965130675864632</c:v>
                      </c:pt>
                      <c:pt idx="2">
                        <c:v>6.3965130675864632</c:v>
                      </c:pt>
                      <c:pt idx="3">
                        <c:v>6.7885402025187291</c:v>
                      </c:pt>
                      <c:pt idx="4">
                        <c:v>6.7885402025187291</c:v>
                      </c:pt>
                      <c:pt idx="5">
                        <c:v>6.7885402025187291</c:v>
                      </c:pt>
                      <c:pt idx="6">
                        <c:v>7.1444757281597369</c:v>
                      </c:pt>
                      <c:pt idx="7">
                        <c:v>7.1444757281597369</c:v>
                      </c:pt>
                      <c:pt idx="8">
                        <c:v>7.1444757281597369</c:v>
                      </c:pt>
                      <c:pt idx="9">
                        <c:v>7.1444757281597369</c:v>
                      </c:pt>
                      <c:pt idx="10">
                        <c:v>7.1444757281597369</c:v>
                      </c:pt>
                      <c:pt idx="11">
                        <c:v>7.1444757281597369</c:v>
                      </c:pt>
                      <c:pt idx="12">
                        <c:v>7.1444757281597369</c:v>
                      </c:pt>
                      <c:pt idx="13">
                        <c:v>7.1444757281597369</c:v>
                      </c:pt>
                      <c:pt idx="14">
                        <c:v>7.1444757281597369</c:v>
                      </c:pt>
                      <c:pt idx="15">
                        <c:v>7.1444757281597369</c:v>
                      </c:pt>
                      <c:pt idx="16">
                        <c:v>7.1444757281597369</c:v>
                      </c:pt>
                      <c:pt idx="17">
                        <c:v>7.1444757281597369</c:v>
                      </c:pt>
                      <c:pt idx="18">
                        <c:v>7.1444757281597369</c:v>
                      </c:pt>
                      <c:pt idx="19">
                        <c:v>7.1444757281597369</c:v>
                      </c:pt>
                      <c:pt idx="20">
                        <c:v>7.1444757281597369</c:v>
                      </c:pt>
                      <c:pt idx="21">
                        <c:v>7.1444757281597369</c:v>
                      </c:pt>
                      <c:pt idx="22">
                        <c:v>7.1444757281597369</c:v>
                      </c:pt>
                      <c:pt idx="23">
                        <c:v>7.1444757281597369</c:v>
                      </c:pt>
                      <c:pt idx="24">
                        <c:v>7.1444757281597369</c:v>
                      </c:pt>
                      <c:pt idx="25">
                        <c:v>7.1444757281597369</c:v>
                      </c:pt>
                      <c:pt idx="26">
                        <c:v>7.1444757281597369</c:v>
                      </c:pt>
                      <c:pt idx="27">
                        <c:v>7.1444757281597369</c:v>
                      </c:pt>
                      <c:pt idx="28">
                        <c:v>7.1444757281597369</c:v>
                      </c:pt>
                      <c:pt idx="29">
                        <c:v>7.1444757281597369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6D0-426F-960F-149B6B9091F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day'!$L$4:$L$5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day'!$L$6:$L$35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7.5156853593019077</c:v>
                      </c:pt>
                      <c:pt idx="1">
                        <c:v>7.6395690498981583</c:v>
                      </c:pt>
                      <c:pt idx="2">
                        <c:v>7.7800762848401535</c:v>
                      </c:pt>
                      <c:pt idx="3">
                        <c:v>8.002550862368782</c:v>
                      </c:pt>
                      <c:pt idx="4">
                        <c:v>8.2522626165862718</c:v>
                      </c:pt>
                      <c:pt idx="5">
                        <c:v>8.4441142287088482</c:v>
                      </c:pt>
                      <c:pt idx="6">
                        <c:v>8.6420691281866731</c:v>
                      </c:pt>
                      <c:pt idx="7">
                        <c:v>9.0208301307657983</c:v>
                      </c:pt>
                      <c:pt idx="8">
                        <c:v>9.3055846213091851</c:v>
                      </c:pt>
                      <c:pt idx="9">
                        <c:v>9.6602986066111036</c:v>
                      </c:pt>
                      <c:pt idx="10">
                        <c:v>9.9955870410270293</c:v>
                      </c:pt>
                      <c:pt idx="11">
                        <c:v>10.239292915607265</c:v>
                      </c:pt>
                      <c:pt idx="12">
                        <c:v>10.384681425859187</c:v>
                      </c:pt>
                      <c:pt idx="13">
                        <c:v>10.461418962574813</c:v>
                      </c:pt>
                      <c:pt idx="14">
                        <c:v>10.533332552016905</c:v>
                      </c:pt>
                      <c:pt idx="15">
                        <c:v>10.6819243189875</c:v>
                      </c:pt>
                      <c:pt idx="16">
                        <c:v>10.772526927866835</c:v>
                      </c:pt>
                      <c:pt idx="17">
                        <c:v>10.912901985129238</c:v>
                      </c:pt>
                      <c:pt idx="18">
                        <c:v>11.12268238308536</c:v>
                      </c:pt>
                      <c:pt idx="19">
                        <c:v>11.419862597438796</c:v>
                      </c:pt>
                      <c:pt idx="20">
                        <c:v>11.810465668738725</c:v>
                      </c:pt>
                      <c:pt idx="21">
                        <c:v>12.276230821429088</c:v>
                      </c:pt>
                      <c:pt idx="22">
                        <c:v>12.771258228643232</c:v>
                      </c:pt>
                      <c:pt idx="23">
                        <c:v>13.237023381333595</c:v>
                      </c:pt>
                      <c:pt idx="24">
                        <c:v>13.627626452633526</c:v>
                      </c:pt>
                      <c:pt idx="25">
                        <c:v>13.924806666986962</c:v>
                      </c:pt>
                      <c:pt idx="26">
                        <c:v>14.134587064943084</c:v>
                      </c:pt>
                      <c:pt idx="27">
                        <c:v>14.274962122205489</c:v>
                      </c:pt>
                      <c:pt idx="28">
                        <c:v>14.365564731084826</c:v>
                      </c:pt>
                      <c:pt idx="29">
                        <c:v>14.514156498055417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D0-426F-960F-149B6B9091F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day'!$M$4:$M$5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day'!$M$6:$M$35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15.112887032730717</c:v>
                      </c:pt>
                      <c:pt idx="1">
                        <c:v>15.252687173678117</c:v>
                      </c:pt>
                      <c:pt idx="2">
                        <c:v>15.411246635012207</c:v>
                      </c:pt>
                      <c:pt idx="3">
                        <c:v>15.662304519597519</c:v>
                      </c:pt>
                      <c:pt idx="4">
                        <c:v>15.944098985582571</c:v>
                      </c:pt>
                      <c:pt idx="5">
                        <c:v>16.160599497366114</c:v>
                      </c:pt>
                      <c:pt idx="6">
                        <c:v>16.383987440646081</c:v>
                      </c:pt>
                      <c:pt idx="7">
                        <c:v>16.904814257866995</c:v>
                      </c:pt>
                      <c:pt idx="8">
                        <c:v>17.296374566317951</c:v>
                      </c:pt>
                      <c:pt idx="9">
                        <c:v>17.784134802272941</c:v>
                      </c:pt>
                      <c:pt idx="10">
                        <c:v>18.245183344648552</c:v>
                      </c:pt>
                      <c:pt idx="11">
                        <c:v>18.580298507327285</c:v>
                      </c:pt>
                      <c:pt idx="12">
                        <c:v>18.78021939289728</c:v>
                      </c:pt>
                      <c:pt idx="13">
                        <c:v>18.885739672801552</c:v>
                      </c:pt>
                      <c:pt idx="14">
                        <c:v>18.984626637533971</c:v>
                      </c:pt>
                      <c:pt idx="15">
                        <c:v>19.250275579346837</c:v>
                      </c:pt>
                      <c:pt idx="16">
                        <c:v>19.412252838686136</c:v>
                      </c:pt>
                      <c:pt idx="17">
                        <c:v>19.663212135953646</c:v>
                      </c:pt>
                      <c:pt idx="18">
                        <c:v>20.038252704258845</c:v>
                      </c:pt>
                      <c:pt idx="19">
                        <c:v>20.56954465320198</c:v>
                      </c:pt>
                      <c:pt idx="20">
                        <c:v>21.267855836083442</c:v>
                      </c:pt>
                      <c:pt idx="21">
                        <c:v>22.100540058554461</c:v>
                      </c:pt>
                      <c:pt idx="22">
                        <c:v>22.985538666322732</c:v>
                      </c:pt>
                      <c:pt idx="23">
                        <c:v>23.818222888793748</c:v>
                      </c:pt>
                      <c:pt idx="24">
                        <c:v>24.516534071675217</c:v>
                      </c:pt>
                      <c:pt idx="25">
                        <c:v>25.047826020618352</c:v>
                      </c:pt>
                      <c:pt idx="26">
                        <c:v>25.422866588923547</c:v>
                      </c:pt>
                      <c:pt idx="27">
                        <c:v>25.673825886191064</c:v>
                      </c:pt>
                      <c:pt idx="28">
                        <c:v>25.83580314553037</c:v>
                      </c:pt>
                      <c:pt idx="29">
                        <c:v>26.10145208734323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D0-426F-960F-149B6B9091F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day'!$N$4:$N$5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day'!$N$6:$N$35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9.5878651106727446</c:v>
                      </c:pt>
                      <c:pt idx="1">
                        <c:v>9.701955009415812</c:v>
                      </c:pt>
                      <c:pt idx="2">
                        <c:v>9.8313542558383702</c:v>
                      </c:pt>
                      <c:pt idx="3">
                        <c:v>10.036240806287292</c:v>
                      </c:pt>
                      <c:pt idx="4">
                        <c:v>10.266211261772648</c:v>
                      </c:pt>
                      <c:pt idx="5">
                        <c:v>10.442895786550773</c:v>
                      </c:pt>
                      <c:pt idx="6">
                        <c:v>10.625201095089924</c:v>
                      </c:pt>
                      <c:pt idx="7">
                        <c:v>10.945255294353959</c:v>
                      </c:pt>
                      <c:pt idx="8">
                        <c:v>11.185873705006369</c:v>
                      </c:pt>
                      <c:pt idx="9">
                        <c:v>11.485608101526882</c:v>
                      </c:pt>
                      <c:pt idx="10">
                        <c:v>11.768927848461662</c:v>
                      </c:pt>
                      <c:pt idx="11">
                        <c:v>11.974860053766838</c:v>
                      </c:pt>
                      <c:pt idx="12">
                        <c:v>12.097713787160755</c:v>
                      </c:pt>
                      <c:pt idx="13">
                        <c:v>12.162557239099508</c:v>
                      </c:pt>
                      <c:pt idx="14">
                        <c:v>12.223324440919034</c:v>
                      </c:pt>
                      <c:pt idx="15">
                        <c:v>12.417889275516739</c:v>
                      </c:pt>
                      <c:pt idx="16">
                        <c:v>12.536523584604787</c:v>
                      </c:pt>
                      <c:pt idx="17">
                        <c:v>12.720329527253735</c:v>
                      </c:pt>
                      <c:pt idx="18">
                        <c:v>12.995014250790607</c:v>
                      </c:pt>
                      <c:pt idx="19">
                        <c:v>13.384139573345184</c:v>
                      </c:pt>
                      <c:pt idx="20">
                        <c:v>13.895592014555239</c:v>
                      </c:pt>
                      <c:pt idx="21">
                        <c:v>14.505461065459716</c:v>
                      </c:pt>
                      <c:pt idx="22">
                        <c:v>15.15364587118324</c:v>
                      </c:pt>
                      <c:pt idx="23">
                        <c:v>15.763514922087717</c:v>
                      </c:pt>
                      <c:pt idx="24">
                        <c:v>16.274967363297776</c:v>
                      </c:pt>
                      <c:pt idx="25">
                        <c:v>16.664092685852353</c:v>
                      </c:pt>
                      <c:pt idx="26">
                        <c:v>16.938777409389228</c:v>
                      </c:pt>
                      <c:pt idx="27">
                        <c:v>17.12258335203818</c:v>
                      </c:pt>
                      <c:pt idx="28">
                        <c:v>17.241217661126228</c:v>
                      </c:pt>
                      <c:pt idx="29">
                        <c:v>17.435782495723927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D0-426F-960F-149B6B9091F7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Day Cab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day'!$AD$4:$AD$5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day'!$AD$6:$AD$35</c:f>
              <c:numCache>
                <c:formatCode>"$"#,##0</c:formatCode>
                <c:ptCount val="30"/>
                <c:pt idx="0">
                  <c:v>0</c:v>
                </c:pt>
                <c:pt idx="1">
                  <c:v>1176.8240328004006</c:v>
                </c:pt>
                <c:pt idx="2">
                  <c:v>2511.5622058902827</c:v>
                </c:pt>
                <c:pt idx="3">
                  <c:v>4624.9431381397308</c:v>
                </c:pt>
                <c:pt idx="4">
                  <c:v>6997.0616326849868</c:v>
                </c:pt>
                <c:pt idx="5">
                  <c:v>8819.5419510440479</c:v>
                </c:pt>
                <c:pt idx="6">
                  <c:v>10700</c:v>
                </c:pt>
                <c:pt idx="7">
                  <c:v>10903.606584415184</c:v>
                </c:pt>
                <c:pt idx="8">
                  <c:v>11056.679072928076</c:v>
                </c:pt>
                <c:pt idx="9">
                  <c:v>11247.358954172012</c:v>
                </c:pt>
                <c:pt idx="10">
                  <c:v>11427.596445520081</c:v>
                </c:pt>
                <c:pt idx="11">
                  <c:v>11558.602859557734</c:v>
                </c:pt>
                <c:pt idx="12">
                  <c:v>11636.757837984853</c:v>
                </c:pt>
                <c:pt idx="13">
                  <c:v>11678.008831726847</c:v>
                </c:pt>
                <c:pt idx="14">
                  <c:v>11716.666666666657</c:v>
                </c:pt>
                <c:pt idx="15">
                  <c:v>11739.062799073135</c:v>
                </c:pt>
                <c:pt idx="16">
                  <c:v>11752.718656771061</c:v>
                </c:pt>
                <c:pt idx="17">
                  <c:v>11773.876345606122</c:v>
                </c:pt>
                <c:pt idx="18">
                  <c:v>11805.494985485671</c:v>
                </c:pt>
                <c:pt idx="19">
                  <c:v>11850.286749961842</c:v>
                </c:pt>
                <c:pt idx="20">
                  <c:v>11909.159447161421</c:v>
                </c:pt>
                <c:pt idx="21">
                  <c:v>11979.360766135178</c:v>
                </c:pt>
                <c:pt idx="22">
                  <c:v>12053.972567198136</c:v>
                </c:pt>
                <c:pt idx="23">
                  <c:v>12124.173886171891</c:v>
                </c:pt>
                <c:pt idx="24">
                  <c:v>12183.046583371472</c:v>
                </c:pt>
                <c:pt idx="25">
                  <c:v>12227.838347847643</c:v>
                </c:pt>
                <c:pt idx="26">
                  <c:v>12259.456987727192</c:v>
                </c:pt>
                <c:pt idx="27">
                  <c:v>12280.614676562252</c:v>
                </c:pt>
                <c:pt idx="28">
                  <c:v>12294.27053426018</c:v>
                </c:pt>
                <c:pt idx="29">
                  <c:v>12316.666666666657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EE-47D6-B8E1-3BEEEB9A3276}"/>
            </c:ext>
          </c:extLst>
        </c:ser>
        <c:ser>
          <c:idx val="1"/>
          <c:order val="1"/>
          <c:tx>
            <c:strRef>
              <c:f>'TRUCK inputs - day'!$AE$4:$AE$5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day'!$AE$6:$AE$35</c:f>
              <c:numCache>
                <c:formatCode>"$"#,##0</c:formatCode>
                <c:ptCount val="30"/>
                <c:pt idx="0">
                  <c:v>9699</c:v>
                </c:pt>
                <c:pt idx="1">
                  <c:v>10595.475952463183</c:v>
                </c:pt>
                <c:pt idx="2">
                  <c:v>11612.247059832867</c:v>
                </c:pt>
                <c:pt idx="3">
                  <c:v>13222.169300838961</c:v>
                </c:pt>
                <c:pt idx="4">
                  <c:v>15029.191529721053</c:v>
                </c:pt>
                <c:pt idx="5">
                  <c:v>16417.512751678489</c:v>
                </c:pt>
                <c:pt idx="6">
                  <c:v>17850</c:v>
                </c:pt>
                <c:pt idx="7">
                  <c:v>17897.396942601565</c:v>
                </c:pt>
                <c:pt idx="8">
                  <c:v>17933.030210419322</c:v>
                </c:pt>
                <c:pt idx="9">
                  <c:v>17977.417986053151</c:v>
                </c:pt>
                <c:pt idx="10">
                  <c:v>18019.374910268605</c:v>
                </c:pt>
                <c:pt idx="11">
                  <c:v>18049.871485339663</c:v>
                </c:pt>
                <c:pt idx="12">
                  <c:v>18068.064939334174</c:v>
                </c:pt>
                <c:pt idx="13">
                  <c:v>18077.667629680669</c:v>
                </c:pt>
                <c:pt idx="14">
                  <c:v>18086.666666666657</c:v>
                </c:pt>
                <c:pt idx="15">
                  <c:v>18025.263936985564</c:v>
                </c:pt>
                <c:pt idx="16">
                  <c:v>17987.824127130414</c:v>
                </c:pt>
                <c:pt idx="17">
                  <c:v>17929.81679690762</c:v>
                </c:pt>
                <c:pt idx="18">
                  <c:v>17843.129025904527</c:v>
                </c:pt>
                <c:pt idx="19">
                  <c:v>17720.324938299025</c:v>
                </c:pt>
                <c:pt idx="20">
                  <c:v>17558.91562681018</c:v>
                </c:pt>
                <c:pt idx="21">
                  <c:v>17366.447010623797</c:v>
                </c:pt>
                <c:pt idx="22">
                  <c:v>17161.886322709517</c:v>
                </c:pt>
                <c:pt idx="23">
                  <c:v>16969.417706523138</c:v>
                </c:pt>
                <c:pt idx="24">
                  <c:v>16808.008395034289</c:v>
                </c:pt>
                <c:pt idx="25">
                  <c:v>16685.204307428787</c:v>
                </c:pt>
                <c:pt idx="26">
                  <c:v>16598.516536425694</c:v>
                </c:pt>
                <c:pt idx="27">
                  <c:v>16540.5092062029</c:v>
                </c:pt>
                <c:pt idx="28">
                  <c:v>16503.06939634775</c:v>
                </c:pt>
                <c:pt idx="29">
                  <c:v>16441.666666666657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EE-47D6-B8E1-3BEEEB9A3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day'!$AF$4:$AF$5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day'!$AF$6:$AF$35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450039</c:v>
                      </c:pt>
                      <c:pt idx="1">
                        <c:v>429428.19187637744</c:v>
                      </c:pt>
                      <c:pt idx="2">
                        <c:v>406051.6873063895</c:v>
                      </c:pt>
                      <c:pt idx="3">
                        <c:v>369038.09166876168</c:v>
                      </c:pt>
                      <c:pt idx="4">
                        <c:v>327492.98570994998</c:v>
                      </c:pt>
                      <c:pt idx="5">
                        <c:v>295574.20167442027</c:v>
                      </c:pt>
                      <c:pt idx="6">
                        <c:v>262640</c:v>
                      </c:pt>
                      <c:pt idx="7">
                        <c:v>237377.83013090739</c:v>
                      </c:pt>
                      <c:pt idx="8">
                        <c:v>218385.59951025047</c:v>
                      </c:pt>
                      <c:pt idx="9">
                        <c:v>194727.29020537995</c:v>
                      </c:pt>
                      <c:pt idx="10">
                        <c:v>172364.60416410037</c:v>
                      </c:pt>
                      <c:pt idx="11">
                        <c:v>156110.18736876105</c:v>
                      </c:pt>
                      <c:pt idx="12">
                        <c:v>146413.23013718586</c:v>
                      </c:pt>
                      <c:pt idx="13">
                        <c:v>141295.07733199868</c:v>
                      </c:pt>
                      <c:pt idx="14">
                        <c:v>136498.66666666666</c:v>
                      </c:pt>
                      <c:pt idx="15">
                        <c:v>132232.87532720482</c:v>
                      </c:pt>
                      <c:pt idx="16">
                        <c:v>129631.84411148069</c:v>
                      </c:pt>
                      <c:pt idx="17">
                        <c:v>125601.93911906665</c:v>
                      </c:pt>
                      <c:pt idx="18">
                        <c:v>119579.5367812092</c:v>
                      </c:pt>
                      <c:pt idx="19">
                        <c:v>111048.04940143277</c:v>
                      </c:pt>
                      <c:pt idx="20">
                        <c:v>99834.566765828989</c:v>
                      </c:pt>
                      <c:pt idx="21">
                        <c:v>86463.321540897479</c:v>
                      </c:pt>
                      <c:pt idx="22">
                        <c:v>72252.011792435951</c:v>
                      </c:pt>
                      <c:pt idx="23">
                        <c:v>58880.766567504499</c:v>
                      </c:pt>
                      <c:pt idx="24">
                        <c:v>47667.283931900587</c:v>
                      </c:pt>
                      <c:pt idx="25">
                        <c:v>39135.796552124186</c:v>
                      </c:pt>
                      <c:pt idx="26">
                        <c:v>33113.394214266766</c:v>
                      </c:pt>
                      <c:pt idx="27">
                        <c:v>29083.489221852622</c:v>
                      </c:pt>
                      <c:pt idx="28">
                        <c:v>26482.458006128392</c:v>
                      </c:pt>
                      <c:pt idx="29">
                        <c:v>22216.666666666657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9EE-47D6-B8E1-3BEEEB9A327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day'!$AG$4:$AG$5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day'!$AG$6:$AG$35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131845</c:v>
                      </c:pt>
                      <c:pt idx="1">
                        <c:v>126464.93446612166</c:v>
                      </c:pt>
                      <c:pt idx="2">
                        <c:v>120362.9356611649</c:v>
                      </c:pt>
                      <c:pt idx="3">
                        <c:v>110701.22958052511</c:v>
                      </c:pt>
                      <c:pt idx="4">
                        <c:v>99856.657580742802</c:v>
                      </c:pt>
                      <c:pt idx="5">
                        <c:v>91524.856671100715</c:v>
                      </c:pt>
                      <c:pt idx="6">
                        <c:v>82928</c:v>
                      </c:pt>
                      <c:pt idx="7">
                        <c:v>79682.37753190755</c:v>
                      </c:pt>
                      <c:pt idx="8">
                        <c:v>77242.301689609696</c:v>
                      </c:pt>
                      <c:pt idx="9">
                        <c:v>74202.739346593662</c:v>
                      </c:pt>
                      <c:pt idx="10">
                        <c:v>71329.635545986472</c:v>
                      </c:pt>
                      <c:pt idx="11">
                        <c:v>69241.307400381003</c:v>
                      </c:pt>
                      <c:pt idx="12">
                        <c:v>67995.465795086551</c:v>
                      </c:pt>
                      <c:pt idx="13">
                        <c:v>67337.897905007194</c:v>
                      </c:pt>
                      <c:pt idx="14">
                        <c:v>66721.666666666657</c:v>
                      </c:pt>
                      <c:pt idx="15">
                        <c:v>65162.223967203601</c:v>
                      </c:pt>
                      <c:pt idx="16">
                        <c:v>64211.366595696949</c:v>
                      </c:pt>
                      <c:pt idx="17">
                        <c:v>62738.156722111649</c:v>
                      </c:pt>
                      <c:pt idx="18">
                        <c:v>60536.55082729875</c:v>
                      </c:pt>
                      <c:pt idx="19">
                        <c:v>57417.700266822896</c:v>
                      </c:pt>
                      <c:pt idx="20">
                        <c:v>53318.394360816237</c:v>
                      </c:pt>
                      <c:pt idx="21">
                        <c:v>48430.276520673549</c:v>
                      </c:pt>
                      <c:pt idx="22">
                        <c:v>43235.056812659808</c:v>
                      </c:pt>
                      <c:pt idx="23">
                        <c:v>38346.93897251712</c:v>
                      </c:pt>
                      <c:pt idx="24">
                        <c:v>34247.633066510432</c:v>
                      </c:pt>
                      <c:pt idx="25">
                        <c:v>31128.782506034571</c:v>
                      </c:pt>
                      <c:pt idx="26">
                        <c:v>28927.17661122165</c:v>
                      </c:pt>
                      <c:pt idx="27">
                        <c:v>27453.966737636329</c:v>
                      </c:pt>
                      <c:pt idx="28">
                        <c:v>26503.109366129676</c:v>
                      </c:pt>
                      <c:pt idx="29">
                        <c:v>24943.666666666657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EE-47D6-B8E1-3BEEEB9A3276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Incremental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</a:t>
            </a:r>
            <a:r>
              <a:rPr lang="en-US" baseline="0"/>
              <a:t> Roof Day Cab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day'!$V$4:$V$5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day'!$V$6:$V$35</c:f>
              <c:numCache>
                <c:formatCode>"$"#,##0</c:formatCode>
                <c:ptCount val="30"/>
                <c:pt idx="0">
                  <c:v>138005</c:v>
                </c:pt>
                <c:pt idx="1">
                  <c:v>139788.33333333334</c:v>
                </c:pt>
                <c:pt idx="2">
                  <c:v>141571.66666666669</c:v>
                </c:pt>
                <c:pt idx="3">
                  <c:v>143355.00000000003</c:v>
                </c:pt>
                <c:pt idx="4">
                  <c:v>145138.33333333337</c:v>
                </c:pt>
                <c:pt idx="5">
                  <c:v>146921.66666666672</c:v>
                </c:pt>
                <c:pt idx="6">
                  <c:v>148705</c:v>
                </c:pt>
                <c:pt idx="7">
                  <c:v>149055</c:v>
                </c:pt>
                <c:pt idx="8">
                  <c:v>149405</c:v>
                </c:pt>
                <c:pt idx="9">
                  <c:v>149755</c:v>
                </c:pt>
                <c:pt idx="10">
                  <c:v>150105</c:v>
                </c:pt>
                <c:pt idx="11">
                  <c:v>150455</c:v>
                </c:pt>
                <c:pt idx="12">
                  <c:v>150805</c:v>
                </c:pt>
                <c:pt idx="13">
                  <c:v>151155</c:v>
                </c:pt>
                <c:pt idx="14">
                  <c:v>151505</c:v>
                </c:pt>
                <c:pt idx="15">
                  <c:v>151545</c:v>
                </c:pt>
                <c:pt idx="16">
                  <c:v>151585</c:v>
                </c:pt>
                <c:pt idx="17">
                  <c:v>151625</c:v>
                </c:pt>
                <c:pt idx="18">
                  <c:v>151665</c:v>
                </c:pt>
                <c:pt idx="19">
                  <c:v>151705</c:v>
                </c:pt>
                <c:pt idx="20">
                  <c:v>151745</c:v>
                </c:pt>
                <c:pt idx="21">
                  <c:v>151785</c:v>
                </c:pt>
                <c:pt idx="22">
                  <c:v>151825</c:v>
                </c:pt>
                <c:pt idx="23">
                  <c:v>151865</c:v>
                </c:pt>
                <c:pt idx="24">
                  <c:v>151905</c:v>
                </c:pt>
                <c:pt idx="25">
                  <c:v>151945</c:v>
                </c:pt>
                <c:pt idx="26">
                  <c:v>151985</c:v>
                </c:pt>
                <c:pt idx="27">
                  <c:v>152025</c:v>
                </c:pt>
                <c:pt idx="28">
                  <c:v>152065</c:v>
                </c:pt>
                <c:pt idx="29">
                  <c:v>152105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43-4508-AC8E-30D2DAAE2AC6}"/>
            </c:ext>
          </c:extLst>
        </c:ser>
        <c:ser>
          <c:idx val="1"/>
          <c:order val="1"/>
          <c:tx>
            <c:strRef>
              <c:f>'TRUCK inputs - day'!$W$4:$W$5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day'!$W$6:$W$35</c:f>
              <c:numCache>
                <c:formatCode>"$"#,##0</c:formatCode>
                <c:ptCount val="30"/>
                <c:pt idx="0">
                  <c:v>147704</c:v>
                </c:pt>
                <c:pt idx="1">
                  <c:v>149062.5</c:v>
                </c:pt>
                <c:pt idx="2">
                  <c:v>150421</c:v>
                </c:pt>
                <c:pt idx="3">
                  <c:v>151779.5</c:v>
                </c:pt>
                <c:pt idx="4">
                  <c:v>153138</c:v>
                </c:pt>
                <c:pt idx="5">
                  <c:v>154496.5</c:v>
                </c:pt>
                <c:pt idx="6">
                  <c:v>155855</c:v>
                </c:pt>
                <c:pt idx="7">
                  <c:v>156107.5</c:v>
                </c:pt>
                <c:pt idx="8">
                  <c:v>156360</c:v>
                </c:pt>
                <c:pt idx="9">
                  <c:v>156612.5</c:v>
                </c:pt>
                <c:pt idx="10">
                  <c:v>156865</c:v>
                </c:pt>
                <c:pt idx="11">
                  <c:v>157117.5</c:v>
                </c:pt>
                <c:pt idx="12">
                  <c:v>157370</c:v>
                </c:pt>
                <c:pt idx="13">
                  <c:v>157622.5</c:v>
                </c:pt>
                <c:pt idx="14">
                  <c:v>157875</c:v>
                </c:pt>
                <c:pt idx="15">
                  <c:v>157765.33333333334</c:v>
                </c:pt>
                <c:pt idx="16">
                  <c:v>157655.66666666669</c:v>
                </c:pt>
                <c:pt idx="17">
                  <c:v>157546.00000000003</c:v>
                </c:pt>
                <c:pt idx="18">
                  <c:v>157436.33333333337</c:v>
                </c:pt>
                <c:pt idx="19">
                  <c:v>157326.66666666672</c:v>
                </c:pt>
                <c:pt idx="20">
                  <c:v>157217.00000000006</c:v>
                </c:pt>
                <c:pt idx="21">
                  <c:v>157107.3333333334</c:v>
                </c:pt>
                <c:pt idx="22">
                  <c:v>156997.66666666674</c:v>
                </c:pt>
                <c:pt idx="23">
                  <c:v>156888.00000000009</c:v>
                </c:pt>
                <c:pt idx="24">
                  <c:v>156778.33333333343</c:v>
                </c:pt>
                <c:pt idx="25">
                  <c:v>156668.66666666677</c:v>
                </c:pt>
                <c:pt idx="26">
                  <c:v>156559.00000000012</c:v>
                </c:pt>
                <c:pt idx="27">
                  <c:v>156449.33333333346</c:v>
                </c:pt>
                <c:pt idx="28">
                  <c:v>156339.6666666668</c:v>
                </c:pt>
                <c:pt idx="29">
                  <c:v>156230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743-4508-AC8E-30D2DAAE2AC6}"/>
            </c:ext>
          </c:extLst>
        </c:ser>
        <c:ser>
          <c:idx val="4"/>
          <c:order val="4"/>
          <c:tx>
            <c:strRef>
              <c:f>'TRUCK inputs - day'!$AC$5</c:f>
              <c:strCache>
                <c:ptCount val="1"/>
                <c:pt idx="0">
                  <c:v>Baseline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'TRUCK inputs - day'!$U$6:$U$35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day'!$AC$6:$AC$35</c:f>
              <c:numCache>
                <c:formatCode>"$"#,##0</c:formatCode>
                <c:ptCount val="30"/>
                <c:pt idx="0">
                  <c:v>138005</c:v>
                </c:pt>
                <c:pt idx="1">
                  <c:v>138005</c:v>
                </c:pt>
                <c:pt idx="2">
                  <c:v>138005</c:v>
                </c:pt>
                <c:pt idx="3">
                  <c:v>138005</c:v>
                </c:pt>
                <c:pt idx="4">
                  <c:v>138005</c:v>
                </c:pt>
                <c:pt idx="5">
                  <c:v>138005</c:v>
                </c:pt>
                <c:pt idx="6">
                  <c:v>138005</c:v>
                </c:pt>
                <c:pt idx="7">
                  <c:v>138718.45332461005</c:v>
                </c:pt>
                <c:pt idx="8">
                  <c:v>139224.49553988935</c:v>
                </c:pt>
                <c:pt idx="9">
                  <c:v>139523.14024300172</c:v>
                </c:pt>
                <c:pt idx="10">
                  <c:v>139576.09988215286</c:v>
                </c:pt>
                <c:pt idx="11">
                  <c:v>139629.10034424686</c:v>
                </c:pt>
                <c:pt idx="12">
                  <c:v>139682.1416607514</c:v>
                </c:pt>
                <c:pt idx="13">
                  <c:v>139735.22386315826</c:v>
                </c:pt>
                <c:pt idx="14">
                  <c:v>139788.33333333334</c:v>
                </c:pt>
                <c:pt idx="15">
                  <c:v>139788.33333333334</c:v>
                </c:pt>
                <c:pt idx="16">
                  <c:v>139788.33333333334</c:v>
                </c:pt>
                <c:pt idx="17">
                  <c:v>139788.33333333334</c:v>
                </c:pt>
                <c:pt idx="18">
                  <c:v>139788.33333333334</c:v>
                </c:pt>
                <c:pt idx="19">
                  <c:v>139788.33333333334</c:v>
                </c:pt>
                <c:pt idx="20">
                  <c:v>139788.33333333334</c:v>
                </c:pt>
                <c:pt idx="21">
                  <c:v>139788.33333333334</c:v>
                </c:pt>
                <c:pt idx="22">
                  <c:v>139788.33333333334</c:v>
                </c:pt>
                <c:pt idx="23">
                  <c:v>139788.33333333334</c:v>
                </c:pt>
                <c:pt idx="24">
                  <c:v>139788.33333333334</c:v>
                </c:pt>
                <c:pt idx="25">
                  <c:v>139788.33333333334</c:v>
                </c:pt>
                <c:pt idx="26">
                  <c:v>139788.33333333334</c:v>
                </c:pt>
                <c:pt idx="27">
                  <c:v>139788.33333333334</c:v>
                </c:pt>
                <c:pt idx="28">
                  <c:v>139788.33333333334</c:v>
                </c:pt>
                <c:pt idx="29">
                  <c:v>139788.33333333334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43-4508-AC8E-30D2DAAE2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day'!$X$4:$X$5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day'!$X$6:$X$35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588044</c:v>
                      </c:pt>
                      <c:pt idx="1">
                        <c:v>556810.83333333337</c:v>
                      </c:pt>
                      <c:pt idx="2">
                        <c:v>525577.66666666674</c:v>
                      </c:pt>
                      <c:pt idx="3">
                        <c:v>494344.50000000006</c:v>
                      </c:pt>
                      <c:pt idx="4">
                        <c:v>463111.33333333337</c:v>
                      </c:pt>
                      <c:pt idx="5">
                        <c:v>431878.16666666669</c:v>
                      </c:pt>
                      <c:pt idx="6">
                        <c:v>400645</c:v>
                      </c:pt>
                      <c:pt idx="7">
                        <c:v>385100.25</c:v>
                      </c:pt>
                      <c:pt idx="8">
                        <c:v>369555.5</c:v>
                      </c:pt>
                      <c:pt idx="9">
                        <c:v>354010.75</c:v>
                      </c:pt>
                      <c:pt idx="10">
                        <c:v>338466</c:v>
                      </c:pt>
                      <c:pt idx="11">
                        <c:v>322921.25</c:v>
                      </c:pt>
                      <c:pt idx="12">
                        <c:v>307376.5</c:v>
                      </c:pt>
                      <c:pt idx="13">
                        <c:v>291831.75</c:v>
                      </c:pt>
                      <c:pt idx="14">
                        <c:v>276287</c:v>
                      </c:pt>
                      <c:pt idx="15">
                        <c:v>268668.2</c:v>
                      </c:pt>
                      <c:pt idx="16">
                        <c:v>261049.40000000002</c:v>
                      </c:pt>
                      <c:pt idx="17">
                        <c:v>253430.60000000003</c:v>
                      </c:pt>
                      <c:pt idx="18">
                        <c:v>245811.80000000005</c:v>
                      </c:pt>
                      <c:pt idx="19">
                        <c:v>238193.00000000006</c:v>
                      </c:pt>
                      <c:pt idx="20">
                        <c:v>230574.20000000007</c:v>
                      </c:pt>
                      <c:pt idx="21">
                        <c:v>222955.40000000008</c:v>
                      </c:pt>
                      <c:pt idx="22">
                        <c:v>215336.60000000009</c:v>
                      </c:pt>
                      <c:pt idx="23">
                        <c:v>207717.8000000001</c:v>
                      </c:pt>
                      <c:pt idx="24">
                        <c:v>200099.00000000012</c:v>
                      </c:pt>
                      <c:pt idx="25">
                        <c:v>192480.20000000013</c:v>
                      </c:pt>
                      <c:pt idx="26">
                        <c:v>184861.40000000014</c:v>
                      </c:pt>
                      <c:pt idx="27">
                        <c:v>177242.60000000015</c:v>
                      </c:pt>
                      <c:pt idx="28">
                        <c:v>169623.80000000016</c:v>
                      </c:pt>
                      <c:pt idx="29">
                        <c:v>162005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0743-4508-AC8E-30D2DAAE2AC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day'!$Y$4:$Y$5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day'!$Y$6:$Y$35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269850</c:v>
                      </c:pt>
                      <c:pt idx="1">
                        <c:v>261697.16666666666</c:v>
                      </c:pt>
                      <c:pt idx="2">
                        <c:v>253544.33333333331</c:v>
                      </c:pt>
                      <c:pt idx="3">
                        <c:v>245391.49999999997</c:v>
                      </c:pt>
                      <c:pt idx="4">
                        <c:v>237238.66666666663</c:v>
                      </c:pt>
                      <c:pt idx="5">
                        <c:v>229085.83333333328</c:v>
                      </c:pt>
                      <c:pt idx="6">
                        <c:v>220933</c:v>
                      </c:pt>
                      <c:pt idx="7">
                        <c:v>219130.125</c:v>
                      </c:pt>
                      <c:pt idx="8">
                        <c:v>217327.25</c:v>
                      </c:pt>
                      <c:pt idx="9">
                        <c:v>215524.375</c:v>
                      </c:pt>
                      <c:pt idx="10">
                        <c:v>213721.5</c:v>
                      </c:pt>
                      <c:pt idx="11">
                        <c:v>211918.625</c:v>
                      </c:pt>
                      <c:pt idx="12">
                        <c:v>210115.75</c:v>
                      </c:pt>
                      <c:pt idx="13">
                        <c:v>208312.875</c:v>
                      </c:pt>
                      <c:pt idx="14">
                        <c:v>206510</c:v>
                      </c:pt>
                      <c:pt idx="15">
                        <c:v>203724.79999999999</c:v>
                      </c:pt>
                      <c:pt idx="16">
                        <c:v>200939.59999999998</c:v>
                      </c:pt>
                      <c:pt idx="17">
                        <c:v>198154.39999999997</c:v>
                      </c:pt>
                      <c:pt idx="18">
                        <c:v>195369.19999999995</c:v>
                      </c:pt>
                      <c:pt idx="19">
                        <c:v>192583.99999999994</c:v>
                      </c:pt>
                      <c:pt idx="20">
                        <c:v>189798.79999999993</c:v>
                      </c:pt>
                      <c:pt idx="21">
                        <c:v>187013.59999999992</c:v>
                      </c:pt>
                      <c:pt idx="22">
                        <c:v>184228.39999999991</c:v>
                      </c:pt>
                      <c:pt idx="23">
                        <c:v>181443.1999999999</c:v>
                      </c:pt>
                      <c:pt idx="24">
                        <c:v>178657.99999999988</c:v>
                      </c:pt>
                      <c:pt idx="25">
                        <c:v>175872.79999999987</c:v>
                      </c:pt>
                      <c:pt idx="26">
                        <c:v>173087.59999999986</c:v>
                      </c:pt>
                      <c:pt idx="27">
                        <c:v>170302.39999999985</c:v>
                      </c:pt>
                      <c:pt idx="28">
                        <c:v>167517.19999999984</c:v>
                      </c:pt>
                      <c:pt idx="29">
                        <c:v>164732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743-4508-AC8E-30D2DAAE2AC6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Estimated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Day Cab Tractors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day'!$AJ$4:$AJ$5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day'!$AJ$6:$AJ$35</c:f>
              <c:numCache>
                <c:formatCode>"$"#,##0.000</c:formatCode>
                <c:ptCount val="30"/>
                <c:pt idx="0">
                  <c:v>0</c:v>
                </c:pt>
                <c:pt idx="1">
                  <c:v>0.69562750092946513</c:v>
                </c:pt>
                <c:pt idx="2">
                  <c:v>1.4713642505263429</c:v>
                </c:pt>
                <c:pt idx="3">
                  <c:v>2.6097796245477647</c:v>
                </c:pt>
                <c:pt idx="4">
                  <c:v>3.8176064257646627</c:v>
                </c:pt>
                <c:pt idx="5">
                  <c:v>5.0053183116595035</c:v>
                </c:pt>
                <c:pt idx="6">
                  <c:v>6.2615293004157699</c:v>
                </c:pt>
                <c:pt idx="7">
                  <c:v>5.3259524941577281</c:v>
                </c:pt>
                <c:pt idx="8">
                  <c:v>4.838265845536796</c:v>
                </c:pt>
                <c:pt idx="9">
                  <c:v>4.2878683559419439</c:v>
                </c:pt>
                <c:pt idx="10">
                  <c:v>3.8557814994063309</c:v>
                </c:pt>
                <c:pt idx="11">
                  <c:v>3.6179012640348378</c:v>
                </c:pt>
                <c:pt idx="12">
                  <c:v>3.501535919575701</c:v>
                </c:pt>
                <c:pt idx="13">
                  <c:v>3.4502246487221142</c:v>
                </c:pt>
                <c:pt idx="14">
                  <c:v>3.4053360791179395</c:v>
                </c:pt>
                <c:pt idx="15">
                  <c:v>3.3230092379659357</c:v>
                </c:pt>
                <c:pt idx="16">
                  <c:v>3.2759098142205012</c:v>
                </c:pt>
                <c:pt idx="17">
                  <c:v>3.2064007526215095</c:v>
                </c:pt>
                <c:pt idx="18">
                  <c:v>3.1101430879700378</c:v>
                </c:pt>
                <c:pt idx="19">
                  <c:v>2.9877582466289581</c:v>
                </c:pt>
                <c:pt idx="20">
                  <c:v>2.8479075876607021</c:v>
                </c:pt>
                <c:pt idx="21">
                  <c:v>2.7063127610738951</c:v>
                </c:pt>
                <c:pt idx="22">
                  <c:v>2.5794981217003654</c:v>
                </c:pt>
                <c:pt idx="23">
                  <c:v>2.4778240996200469</c:v>
                </c:pt>
                <c:pt idx="24">
                  <c:v>2.4033067101290131</c:v>
                </c:pt>
                <c:pt idx="25">
                  <c:v>2.3522155483073246</c:v>
                </c:pt>
                <c:pt idx="26">
                  <c:v>2.318782251914711</c:v>
                </c:pt>
                <c:pt idx="27">
                  <c:v>2.2975905446164644</c:v>
                </c:pt>
                <c:pt idx="28">
                  <c:v>2.2844570869671941</c:v>
                </c:pt>
                <c:pt idx="29">
                  <c:v>2.263398963101944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6-4704-9510-2856ED6437E7}"/>
            </c:ext>
          </c:extLst>
        </c:ser>
        <c:ser>
          <c:idx val="1"/>
          <c:order val="1"/>
          <c:tx>
            <c:strRef>
              <c:f>'TRUCK inputs - day'!$AK$4:$AK$5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day'!$AK$6:$AK$35</c:f>
              <c:numCache>
                <c:formatCode>"$"#,##0.000</c:formatCode>
                <c:ptCount val="30"/>
                <c:pt idx="0">
                  <c:v>3.963169741000161</c:v>
                </c:pt>
                <c:pt idx="1">
                  <c:v>4.2991821706791367</c:v>
                </c:pt>
                <c:pt idx="2">
                  <c:v>4.6989445398519232</c:v>
                </c:pt>
                <c:pt idx="3">
                  <c:v>5.2402055291983833</c:v>
                </c:pt>
                <c:pt idx="4">
                  <c:v>5.8492746505610764</c:v>
                </c:pt>
                <c:pt idx="5">
                  <c:v>6.5993664152032636</c:v>
                </c:pt>
                <c:pt idx="6">
                  <c:v>7.3651133178358092</c:v>
                </c:pt>
                <c:pt idx="7">
                  <c:v>6.4789623437357928</c:v>
                </c:pt>
                <c:pt idx="8">
                  <c:v>5.9793425145744603</c:v>
                </c:pt>
                <c:pt idx="9">
                  <c:v>5.3921404748632709</c:v>
                </c:pt>
                <c:pt idx="10">
                  <c:v>4.9089820674322437</c:v>
                </c:pt>
                <c:pt idx="11">
                  <c:v>4.6302174940949019</c:v>
                </c:pt>
                <c:pt idx="12">
                  <c:v>4.4895366139954707</c:v>
                </c:pt>
                <c:pt idx="13">
                  <c:v>4.4258087644598154</c:v>
                </c:pt>
                <c:pt idx="14">
                  <c:v>4.3694385606419566</c:v>
                </c:pt>
                <c:pt idx="15">
                  <c:v>4.2207345888318288</c:v>
                </c:pt>
                <c:pt idx="16">
                  <c:v>4.1364548590236527</c:v>
                </c:pt>
                <c:pt idx="17">
                  <c:v>4.013620047536933</c:v>
                </c:pt>
                <c:pt idx="18">
                  <c:v>3.8460835090482441</c:v>
                </c:pt>
                <c:pt idx="19">
                  <c:v>3.6368113011281649</c:v>
                </c:pt>
                <c:pt idx="20">
                  <c:v>3.402018609057412</c:v>
                </c:pt>
                <c:pt idx="21">
                  <c:v>3.1680227699514041</c:v>
                </c:pt>
                <c:pt idx="22">
                  <c:v>2.9605990371008293</c:v>
                </c:pt>
                <c:pt idx="23">
                  <c:v>2.7949290074848943</c:v>
                </c:pt>
                <c:pt idx="24">
                  <c:v>2.6733426340577537</c:v>
                </c:pt>
                <c:pt idx="25">
                  <c:v>2.5896247869004547</c:v>
                </c:pt>
                <c:pt idx="26">
                  <c:v>2.5345468727016187</c:v>
                </c:pt>
                <c:pt idx="27">
                  <c:v>2.4994316861107504</c:v>
                </c:pt>
                <c:pt idx="28">
                  <c:v>2.4775226377743307</c:v>
                </c:pt>
                <c:pt idx="29">
                  <c:v>2.4424564750405864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86-4704-9510-2856ED6437E7}"/>
            </c:ext>
          </c:extLst>
        </c:ser>
        <c:ser>
          <c:idx val="2"/>
          <c:order val="2"/>
          <c:tx>
            <c:strRef>
              <c:f>'TRUCK inputs - day'!$AL$4:$AL$5</c:f>
              <c:strCache>
                <c:ptCount val="2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day'!$AL$6:$AL$35</c:f>
              <c:numCache>
                <c:formatCode>"$"#,##0.000</c:formatCode>
                <c:ptCount val="30"/>
                <c:pt idx="0">
                  <c:v>49.260388971739452</c:v>
                </c:pt>
                <c:pt idx="1">
                  <c:v>47.724558878191452</c:v>
                </c:pt>
                <c:pt idx="2">
                  <c:v>45.955165786484599</c:v>
                </c:pt>
                <c:pt idx="3">
                  <c:v>42.740073630732475</c:v>
                </c:pt>
                <c:pt idx="4">
                  <c:v>38.915974609573198</c:v>
                </c:pt>
                <c:pt idx="5">
                  <c:v>36.300535585734359</c:v>
                </c:pt>
                <c:pt idx="6">
                  <c:v>33.281924385155946</c:v>
                </c:pt>
                <c:pt idx="7">
                  <c:v>29.925224229572621</c:v>
                </c:pt>
                <c:pt idx="8">
                  <c:v>27.422144931022459</c:v>
                </c:pt>
                <c:pt idx="9">
                  <c:v>24.151738005044898</c:v>
                </c:pt>
                <c:pt idx="10">
                  <c:v>21.034923587284077</c:v>
                </c:pt>
                <c:pt idx="11">
                  <c:v>18.848124204343396</c:v>
                </c:pt>
                <c:pt idx="12">
                  <c:v>17.578094946599801</c:v>
                </c:pt>
                <c:pt idx="13">
                  <c:v>16.924536881737861</c:v>
                </c:pt>
                <c:pt idx="14">
                  <c:v>16.316644663924308</c:v>
                </c:pt>
                <c:pt idx="15">
                  <c:v>15.671999099072943</c:v>
                </c:pt>
                <c:pt idx="16">
                  <c:v>15.286600515712639</c:v>
                </c:pt>
                <c:pt idx="17">
                  <c:v>14.698761512133023</c:v>
                </c:pt>
                <c:pt idx="18">
                  <c:v>13.841056663766453</c:v>
                </c:pt>
                <c:pt idx="19">
                  <c:v>12.66572081029703</c:v>
                </c:pt>
                <c:pt idx="20">
                  <c:v>11.184119004145643</c:v>
                </c:pt>
                <c:pt idx="21">
                  <c:v>9.4984994971522401</c:v>
                </c:pt>
                <c:pt idx="22">
                  <c:v>7.7888977434716589</c:v>
                </c:pt>
                <c:pt idx="23">
                  <c:v>6.2455701580042708</c:v>
                </c:pt>
                <c:pt idx="24">
                  <c:v>4.9932114303629529</c:v>
                </c:pt>
                <c:pt idx="25">
                  <c:v>4.0630330267139243</c:v>
                </c:pt>
                <c:pt idx="26">
                  <c:v>3.4171739955236506</c:v>
                </c:pt>
                <c:pt idx="27">
                  <c:v>2.9896792203105482</c:v>
                </c:pt>
                <c:pt idx="28">
                  <c:v>2.7157009403811081</c:v>
                </c:pt>
                <c:pt idx="29">
                  <c:v>2.2692687637343858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86-4704-9510-2856ED6437E7}"/>
            </c:ext>
          </c:extLst>
        </c:ser>
        <c:ser>
          <c:idx val="3"/>
          <c:order val="3"/>
          <c:tx>
            <c:strRef>
              <c:f>'TRUCK inputs - day'!$AM$4:$AM$5</c:f>
              <c:strCache>
                <c:ptCount val="2"/>
                <c:pt idx="0">
                  <c:v>FCEV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day'!$A$6:$A$35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day'!$AM$6:$AM$35</c:f>
              <c:numCache>
                <c:formatCode>"$"#,##0.000</c:formatCode>
                <c:ptCount val="30"/>
                <c:pt idx="0">
                  <c:v>24.76920910219593</c:v>
                </c:pt>
                <c:pt idx="1">
                  <c:v>24.101984715244331</c:v>
                </c:pt>
                <c:pt idx="2">
                  <c:v>23.35760360990761</c:v>
                </c:pt>
                <c:pt idx="3">
                  <c:v>21.897874665763972</c:v>
                </c:pt>
                <c:pt idx="4">
                  <c:v>20.186895052033371</c:v>
                </c:pt>
                <c:pt idx="5">
                  <c:v>19.250473132932157</c:v>
                </c:pt>
                <c:pt idx="6">
                  <c:v>18.093496278164412</c:v>
                </c:pt>
                <c:pt idx="7">
                  <c:v>16.912453780441041</c:v>
                </c:pt>
                <c:pt idx="8">
                  <c:v>16.073553509024919</c:v>
                </c:pt>
                <c:pt idx="9">
                  <c:v>14.902833522446914</c:v>
                </c:pt>
                <c:pt idx="10">
                  <c:v>13.775095720314857</c:v>
                </c:pt>
                <c:pt idx="11">
                  <c:v>13.030595922062451</c:v>
                </c:pt>
                <c:pt idx="12">
                  <c:v>12.619733611008384</c:v>
                </c:pt>
                <c:pt idx="13">
                  <c:v>12.420346522227231</c:v>
                </c:pt>
                <c:pt idx="14">
                  <c:v>12.238132631167737</c:v>
                </c:pt>
                <c:pt idx="15">
                  <c:v>11.679163914664997</c:v>
                </c:pt>
                <c:pt idx="16">
                  <c:v>11.355219074779926</c:v>
                </c:pt>
                <c:pt idx="17">
                  <c:v>10.874526604778364</c:v>
                </c:pt>
                <c:pt idx="18">
                  <c:v>10.200480424828989</c:v>
                </c:pt>
                <c:pt idx="19">
                  <c:v>9.3246392812241456</c:v>
                </c:pt>
                <c:pt idx="20">
                  <c:v>8.2897285716677285</c:v>
                </c:pt>
                <c:pt idx="21">
                  <c:v>7.1922652623180063</c:v>
                </c:pt>
                <c:pt idx="22">
                  <c:v>6.1520293804271109</c:v>
                </c:pt>
                <c:pt idx="23">
                  <c:v>5.2657673126896851</c:v>
                </c:pt>
                <c:pt idx="24">
                  <c:v>4.5780143249595167</c:v>
                </c:pt>
                <c:pt idx="25">
                  <c:v>4.0832136740690173</c:v>
                </c:pt>
                <c:pt idx="26">
                  <c:v>3.7469760419308908</c:v>
                </c:pt>
                <c:pt idx="27">
                  <c:v>3.5275449850879603</c:v>
                </c:pt>
                <c:pt idx="28">
                  <c:v>3.3882111951959999</c:v>
                </c:pt>
                <c:pt idx="29">
                  <c:v>3.1629897766295678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86-4704-9510-2856ED643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Cost/gal saved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 8 Vocational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- 8 voc'!$B$4:$B$5</c:f>
              <c:strCache>
                <c:ptCount val="2"/>
                <c:pt idx="0">
                  <c:v>Class 8 Voc std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voc'!$B$6:$B$35</c:f>
              <c:numCache>
                <c:formatCode>0.000</c:formatCode>
                <c:ptCount val="30"/>
                <c:pt idx="0">
                  <c:v>5.1984163708528346</c:v>
                </c:pt>
                <c:pt idx="1">
                  <c:v>5.1984163708528346</c:v>
                </c:pt>
                <c:pt idx="2">
                  <c:v>5.1984163708528346</c:v>
                </c:pt>
                <c:pt idx="3">
                  <c:v>5.6015050949374041</c:v>
                </c:pt>
                <c:pt idx="4">
                  <c:v>5.6015050949374041</c:v>
                </c:pt>
                <c:pt idx="5">
                  <c:v>5.6015050949374041</c:v>
                </c:pt>
                <c:pt idx="6">
                  <c:v>5.8625446189785695</c:v>
                </c:pt>
                <c:pt idx="7">
                  <c:v>5.8625446189785695</c:v>
                </c:pt>
                <c:pt idx="8">
                  <c:v>5.8625446189785695</c:v>
                </c:pt>
                <c:pt idx="9">
                  <c:v>5.8625446189785695</c:v>
                </c:pt>
                <c:pt idx="10">
                  <c:v>5.8625446189785695</c:v>
                </c:pt>
                <c:pt idx="11">
                  <c:v>5.8625446189785695</c:v>
                </c:pt>
                <c:pt idx="12">
                  <c:v>5.8625446189785695</c:v>
                </c:pt>
                <c:pt idx="13">
                  <c:v>5.8625446189785695</c:v>
                </c:pt>
                <c:pt idx="14">
                  <c:v>5.8625446189785695</c:v>
                </c:pt>
                <c:pt idx="15">
                  <c:v>5.8625446189785695</c:v>
                </c:pt>
                <c:pt idx="16">
                  <c:v>5.8625446189785695</c:v>
                </c:pt>
                <c:pt idx="17">
                  <c:v>5.8625446189785695</c:v>
                </c:pt>
                <c:pt idx="18">
                  <c:v>5.8625446189785695</c:v>
                </c:pt>
                <c:pt idx="19">
                  <c:v>5.8625446189785695</c:v>
                </c:pt>
                <c:pt idx="20">
                  <c:v>5.8625446189785695</c:v>
                </c:pt>
                <c:pt idx="21">
                  <c:v>5.8625446189785695</c:v>
                </c:pt>
                <c:pt idx="22">
                  <c:v>5.8625446189785695</c:v>
                </c:pt>
                <c:pt idx="23">
                  <c:v>5.8625446189785695</c:v>
                </c:pt>
                <c:pt idx="24">
                  <c:v>5.8625446189785695</c:v>
                </c:pt>
                <c:pt idx="25">
                  <c:v>5.8625446189785695</c:v>
                </c:pt>
                <c:pt idx="26">
                  <c:v>5.8625446189785695</c:v>
                </c:pt>
                <c:pt idx="27">
                  <c:v>5.8625446189785695</c:v>
                </c:pt>
                <c:pt idx="28">
                  <c:v>5.8625446189785695</c:v>
                </c:pt>
                <c:pt idx="29">
                  <c:v>5.8625446189785695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9-4C81-96E1-5F0C43076D19}"/>
            </c:ext>
          </c:extLst>
        </c:ser>
        <c:ser>
          <c:idx val="1"/>
          <c:order val="1"/>
          <c:tx>
            <c:strRef>
              <c:f>'TRUCK inputs - 8 voc'!$C$4:$C$5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voc'!$C$6:$C$35</c:f>
              <c:numCache>
                <c:formatCode>0.000</c:formatCode>
                <c:ptCount val="30"/>
                <c:pt idx="0">
                  <c:v>5.2550520296548653</c:v>
                </c:pt>
                <c:pt idx="1">
                  <c:v>5.3821460886379846</c:v>
                </c:pt>
                <c:pt idx="2">
                  <c:v>5.5056803268119463</c:v>
                </c:pt>
                <c:pt idx="3">
                  <c:v>5.688984368096369</c:v>
                </c:pt>
                <c:pt idx="4">
                  <c:v>5.8911817683285665</c:v>
                </c:pt>
                <c:pt idx="5">
                  <c:v>6.0527145485089395</c:v>
                </c:pt>
                <c:pt idx="6">
                  <c:v>6.2461645197780076</c:v>
                </c:pt>
                <c:pt idx="7">
                  <c:v>6.4088392623999306</c:v>
                </c:pt>
                <c:pt idx="8">
                  <c:v>6.4971824000427869</c:v>
                </c:pt>
                <c:pt idx="9">
                  <c:v>6.5747286434059493</c:v>
                </c:pt>
                <c:pt idx="10">
                  <c:v>6.6256824096475135</c:v>
                </c:pt>
                <c:pt idx="11">
                  <c:v>6.6531095027172871</c:v>
                </c:pt>
                <c:pt idx="12">
                  <c:v>6.6663051325418001</c:v>
                </c:pt>
                <c:pt idx="13">
                  <c:v>6.6723105163654886</c:v>
                </c:pt>
                <c:pt idx="14">
                  <c:v>6.6770445707663644</c:v>
                </c:pt>
                <c:pt idx="15">
                  <c:v>6.7135193930201398</c:v>
                </c:pt>
                <c:pt idx="16">
                  <c:v>6.7361855065361178</c:v>
                </c:pt>
                <c:pt idx="17">
                  <c:v>6.7719599943348987</c:v>
                </c:pt>
                <c:pt idx="18">
                  <c:v>6.826964318784766</c:v>
                </c:pt>
                <c:pt idx="19">
                  <c:v>6.9082202138122311</c:v>
                </c:pt>
                <c:pt idx="20">
                  <c:v>7.0214337249837344</c:v>
                </c:pt>
                <c:pt idx="21">
                  <c:v>7.1669545891109294</c:v>
                </c:pt>
                <c:pt idx="22">
                  <c:v>7.3357809224732113</c:v>
                </c:pt>
                <c:pt idx="23">
                  <c:v>7.5098492636458385</c:v>
                </c:pt>
                <c:pt idx="24">
                  <c:v>7.66880129097345</c:v>
                </c:pt>
                <c:pt idx="25">
                  <c:v>7.7986426064029555</c:v>
                </c:pt>
                <c:pt idx="26">
                  <c:v>7.8953879862946348</c:v>
                </c:pt>
                <c:pt idx="27">
                  <c:v>7.9626473175672032</c:v>
                </c:pt>
                <c:pt idx="28">
                  <c:v>8.0071855796706686</c:v>
                </c:pt>
                <c:pt idx="29">
                  <c:v>8.0822270003887091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9-4C81-96E1-5F0C4307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- 8 voc'!$D$4:$D$5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- 8 voc'!$D$6:$D$35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7.700486326680875</c:v>
                      </c:pt>
                      <c:pt idx="1">
                        <c:v>7.8774018005086601</c:v>
                      </c:pt>
                      <c:pt idx="2">
                        <c:v>8.0493619885407668</c:v>
                      </c:pt>
                      <c:pt idx="3">
                        <c:v>8.3045219982048604</c:v>
                      </c:pt>
                      <c:pt idx="4">
                        <c:v>8.5859816443522607</c:v>
                      </c:pt>
                      <c:pt idx="5">
                        <c:v>8.8108359654195088</c:v>
                      </c:pt>
                      <c:pt idx="6">
                        <c:v>9.0801191530277059</c:v>
                      </c:pt>
                      <c:pt idx="7">
                        <c:v>9.4845499782126499</c:v>
                      </c:pt>
                      <c:pt idx="8">
                        <c:v>9.7041826481678459</c:v>
                      </c:pt>
                      <c:pt idx="9">
                        <c:v>9.8969728176057998</c:v>
                      </c:pt>
                      <c:pt idx="10">
                        <c:v>10.023650588200159</c:v>
                      </c:pt>
                      <c:pt idx="11">
                        <c:v>10.091837952162448</c:v>
                      </c:pt>
                      <c:pt idx="12">
                        <c:v>10.124644025021382</c:v>
                      </c:pt>
                      <c:pt idx="13">
                        <c:v>10.139574199775129</c:v>
                      </c:pt>
                      <c:pt idx="14">
                        <c:v>10.151343682221871</c:v>
                      </c:pt>
                      <c:pt idx="15">
                        <c:v>10.249651695546222</c:v>
                      </c:pt>
                      <c:pt idx="16">
                        <c:v>10.310742071094506</c:v>
                      </c:pt>
                      <c:pt idx="17">
                        <c:v>10.40716252240542</c:v>
                      </c:pt>
                      <c:pt idx="18">
                        <c:v>10.555411794829352</c:v>
                      </c:pt>
                      <c:pt idx="19">
                        <c:v>10.774415072089061</c:v>
                      </c:pt>
                      <c:pt idx="20">
                        <c:v>11.079551455957052</c:v>
                      </c:pt>
                      <c:pt idx="21">
                        <c:v>11.471763567370607</c:v>
                      </c:pt>
                      <c:pt idx="22">
                        <c:v>11.926789264664105</c:v>
                      </c:pt>
                      <c:pt idx="23">
                        <c:v>12.395943375526842</c:v>
                      </c:pt>
                      <c:pt idx="24">
                        <c:v>12.824355552884008</c:v>
                      </c:pt>
                      <c:pt idx="25">
                        <c:v>13.174307683657556</c:v>
                      </c:pt>
                      <c:pt idx="26">
                        <c:v>13.435058675925273</c:v>
                      </c:pt>
                      <c:pt idx="27">
                        <c:v>13.616338003043756</c:v>
                      </c:pt>
                      <c:pt idx="28">
                        <c:v>13.736378836521915</c:v>
                      </c:pt>
                      <c:pt idx="29">
                        <c:v>13.938632679912853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199-4C81-96E1-5F0C43076D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voc'!$E$4:$E$5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voc'!$E$6:$E$35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19.538085110521639</c:v>
                      </c:pt>
                      <c:pt idx="1">
                        <c:v>19.861820499425949</c:v>
                      </c:pt>
                      <c:pt idx="2">
                        <c:v>20.176488273499928</c:v>
                      </c:pt>
                      <c:pt idx="3">
                        <c:v>20.643402349324877</c:v>
                      </c:pt>
                      <c:pt idx="4">
                        <c:v>21.158441797457581</c:v>
                      </c:pt>
                      <c:pt idx="5">
                        <c:v>21.569899876858706</c:v>
                      </c:pt>
                      <c:pt idx="6">
                        <c:v>22.062657777451349</c:v>
                      </c:pt>
                      <c:pt idx="7">
                        <c:v>22.937281422970518</c:v>
                      </c:pt>
                      <c:pt idx="8">
                        <c:v>23.41225987295261</c:v>
                      </c:pt>
                      <c:pt idx="9">
                        <c:v>23.829188628907286</c:v>
                      </c:pt>
                      <c:pt idx="10">
                        <c:v>24.10314245889246</c:v>
                      </c:pt>
                      <c:pt idx="11">
                        <c:v>24.250604712344007</c:v>
                      </c:pt>
                      <c:pt idx="12">
                        <c:v>24.321551250669632</c:v>
                      </c:pt>
                      <c:pt idx="13">
                        <c:v>24.353839303553311</c:v>
                      </c:pt>
                      <c:pt idx="14">
                        <c:v>24.379292031195263</c:v>
                      </c:pt>
                      <c:pt idx="15">
                        <c:v>24.609101449718395</c:v>
                      </c:pt>
                      <c:pt idx="16">
                        <c:v>24.751909174209693</c:v>
                      </c:pt>
                      <c:pt idx="17">
                        <c:v>24.977306139321694</c:v>
                      </c:pt>
                      <c:pt idx="18">
                        <c:v>25.32386058529362</c:v>
                      </c:pt>
                      <c:pt idx="19">
                        <c:v>25.835812908403454</c:v>
                      </c:pt>
                      <c:pt idx="20">
                        <c:v>26.54911401759782</c:v>
                      </c:pt>
                      <c:pt idx="21">
                        <c:v>27.465967427749607</c:v>
                      </c:pt>
                      <c:pt idx="22">
                        <c:v>28.529656819611208</c:v>
                      </c:pt>
                      <c:pt idx="23">
                        <c:v>29.626373453069981</c:v>
                      </c:pt>
                      <c:pt idx="24">
                        <c:v>30.627849833656057</c:v>
                      </c:pt>
                      <c:pt idx="25">
                        <c:v>31.445914332820127</c:v>
                      </c:pt>
                      <c:pt idx="26">
                        <c:v>32.055458070772268</c:v>
                      </c:pt>
                      <c:pt idx="27">
                        <c:v>32.479225120340381</c:v>
                      </c:pt>
                      <c:pt idx="28">
                        <c:v>32.759838197624639</c:v>
                      </c:pt>
                      <c:pt idx="29">
                        <c:v>33.232636259267764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99-4C81-96E1-5F0C43076D1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voc'!$F$4:$F$5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voc'!$F$6:$F$35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12.527007675823498</c:v>
                      </c:pt>
                      <c:pt idx="1">
                        <c:v>12.776697847876351</c:v>
                      </c:pt>
                      <c:pt idx="2">
                        <c:v>13.019394362810786</c:v>
                      </c:pt>
                      <c:pt idx="3">
                        <c:v>13.379515189641644</c:v>
                      </c:pt>
                      <c:pt idx="4">
                        <c:v>13.776754085437101</c:v>
                      </c:pt>
                      <c:pt idx="5">
                        <c:v>14.094102889921896</c:v>
                      </c:pt>
                      <c:pt idx="6">
                        <c:v>14.474156505301421</c:v>
                      </c:pt>
                      <c:pt idx="7">
                        <c:v>15.007055337552845</c:v>
                      </c:pt>
                      <c:pt idx="8">
                        <c:v>15.296454626763463</c:v>
                      </c:pt>
                      <c:pt idx="9">
                        <c:v>15.550484858301967</c:v>
                      </c:pt>
                      <c:pt idx="10">
                        <c:v>15.717401996705247</c:v>
                      </c:pt>
                      <c:pt idx="11">
                        <c:v>15.807249170478885</c:v>
                      </c:pt>
                      <c:pt idx="12">
                        <c:v>15.850476137437415</c:v>
                      </c:pt>
                      <c:pt idx="13">
                        <c:v>15.870148902706838</c:v>
                      </c:pt>
                      <c:pt idx="14">
                        <c:v>15.885656977417026</c:v>
                      </c:pt>
                      <c:pt idx="15">
                        <c:v>16.066436841717323</c:v>
                      </c:pt>
                      <c:pt idx="16">
                        <c:v>16.17877671542869</c:v>
                      </c:pt>
                      <c:pt idx="17">
                        <c:v>16.356085517776776</c:v>
                      </c:pt>
                      <c:pt idx="18">
                        <c:v>16.62870300281325</c:v>
                      </c:pt>
                      <c:pt idx="19">
                        <c:v>17.031430933177436</c:v>
                      </c:pt>
                      <c:pt idx="20">
                        <c:v>17.592550136011283</c:v>
                      </c:pt>
                      <c:pt idx="21">
                        <c:v>18.313794009024356</c:v>
                      </c:pt>
                      <c:pt idx="22">
                        <c:v>19.150546589289256</c:v>
                      </c:pt>
                      <c:pt idx="23">
                        <c:v>20.013280090147056</c:v>
                      </c:pt>
                      <c:pt idx="24">
                        <c:v>20.801092727878789</c:v>
                      </c:pt>
                      <c:pt idx="25">
                        <c:v>21.444624181455335</c:v>
                      </c:pt>
                      <c:pt idx="26">
                        <c:v>21.924122519427037</c:v>
                      </c:pt>
                      <c:pt idx="27">
                        <c:v>22.257479394911886</c:v>
                      </c:pt>
                      <c:pt idx="28">
                        <c:v>22.478224020429622</c:v>
                      </c:pt>
                      <c:pt idx="29">
                        <c:v>22.850151202416225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199-4C81-96E1-5F0C43076D19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Class 7&amp;8 Vocational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'TRUCK inputs - 8 voc'!$J$4:$J$5</c:f>
              <c:strCache>
                <c:ptCount val="2"/>
                <c:pt idx="0">
                  <c:v>Diesel</c:v>
                </c:pt>
                <c:pt idx="1">
                  <c:v>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voc'!$J$6:$J$35</c:f>
              <c:numCache>
                <c:formatCode>0.000</c:formatCode>
                <c:ptCount val="30"/>
                <c:pt idx="0">
                  <c:v>6.1940987651005122</c:v>
                </c:pt>
                <c:pt idx="1">
                  <c:v>6.3185291641470567</c:v>
                </c:pt>
                <c:pt idx="2">
                  <c:v>6.4751097824714527</c:v>
                </c:pt>
                <c:pt idx="3">
                  <c:v>6.6492529214040559</c:v>
                </c:pt>
                <c:pt idx="4">
                  <c:v>6.8393988538764896</c:v>
                </c:pt>
                <c:pt idx="5">
                  <c:v>7.029765080205796</c:v>
                </c:pt>
                <c:pt idx="6">
                  <c:v>7.2347440826554212</c:v>
                </c:pt>
                <c:pt idx="7">
                  <c:v>7.3264307414802223</c:v>
                </c:pt>
                <c:pt idx="8">
                  <c:v>7.5042230311669371</c:v>
                </c:pt>
                <c:pt idx="9">
                  <c:v>7.665004330826771</c:v>
                </c:pt>
                <c:pt idx="10">
                  <c:v>7.8124608729980709</c:v>
                </c:pt>
                <c:pt idx="11">
                  <c:v>7.8283446817637188</c:v>
                </c:pt>
                <c:pt idx="12">
                  <c:v>7.8442607844998591</c:v>
                </c:pt>
                <c:pt idx="13">
                  <c:v>7.8602092468645806</c:v>
                </c:pt>
                <c:pt idx="14">
                  <c:v>7.8761901346494616</c:v>
                </c:pt>
                <c:pt idx="15">
                  <c:v>7.8768612391973623</c:v>
                </c:pt>
                <c:pt idx="16">
                  <c:v>7.8780700934087866</c:v>
                </c:pt>
                <c:pt idx="17">
                  <c:v>7.8790193478605959</c:v>
                </c:pt>
                <c:pt idx="18">
                  <c:v>7.8800990704038281</c:v>
                </c:pt>
                <c:pt idx="19">
                  <c:v>7.8815296451121526</c:v>
                </c:pt>
                <c:pt idx="20">
                  <c:v>7.8832558955587535</c:v>
                </c:pt>
                <c:pt idx="21">
                  <c:v>7.8853279467657602</c:v>
                </c:pt>
                <c:pt idx="22">
                  <c:v>7.8877646562024601</c:v>
                </c:pt>
                <c:pt idx="23">
                  <c:v>7.8915292676605535</c:v>
                </c:pt>
                <c:pt idx="24">
                  <c:v>7.8947420423053876</c:v>
                </c:pt>
                <c:pt idx="25">
                  <c:v>7.8983368628838031</c:v>
                </c:pt>
                <c:pt idx="26">
                  <c:v>7.9033031638622333</c:v>
                </c:pt>
                <c:pt idx="27">
                  <c:v>7.9078559909468771</c:v>
                </c:pt>
                <c:pt idx="28">
                  <c:v>7.9130968993474111</c:v>
                </c:pt>
                <c:pt idx="29">
                  <c:v>7.919161701164132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2-4F61-887A-8C6F9AE106F0}"/>
            </c:ext>
          </c:extLst>
        </c:ser>
        <c:ser>
          <c:idx val="2"/>
          <c:order val="2"/>
          <c:tx>
            <c:strRef>
              <c:f>'TRUCK inputs - 8 voc'!$K$4:$K$5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voc'!$K$6:$K$35</c:f>
              <c:numCache>
                <c:formatCode>0.000</c:formatCode>
                <c:ptCount val="30"/>
                <c:pt idx="0">
                  <c:v>6.2615821752815934</c:v>
                </c:pt>
                <c:pt idx="1">
                  <c:v>6.4130192856702335</c:v>
                </c:pt>
                <c:pt idx="2">
                  <c:v>6.5602147424272754</c:v>
                </c:pt>
                <c:pt idx="3">
                  <c:v>6.7786280542435247</c:v>
                </c:pt>
                <c:pt idx="4">
                  <c:v>7.0195534780143252</c:v>
                </c:pt>
                <c:pt idx="5">
                  <c:v>7.2120255546737706</c:v>
                </c:pt>
                <c:pt idx="6">
                  <c:v>7.4425281044242979</c:v>
                </c:pt>
                <c:pt idx="7">
                  <c:v>7.6363608701175529</c:v>
                </c:pt>
                <c:pt idx="8">
                  <c:v>7.7416248737565976</c:v>
                </c:pt>
                <c:pt idx="9">
                  <c:v>7.8340239922549006</c:v>
                </c:pt>
                <c:pt idx="10">
                  <c:v>7.8947372245238103</c:v>
                </c:pt>
                <c:pt idx="11">
                  <c:v>7.9274175854634077</c:v>
                </c:pt>
                <c:pt idx="12">
                  <c:v>7.9431406496756214</c:v>
                </c:pt>
                <c:pt idx="13">
                  <c:v>7.9502962789812752</c:v>
                </c:pt>
                <c:pt idx="14">
                  <c:v>7.955937073874658</c:v>
                </c:pt>
                <c:pt idx="15">
                  <c:v>7.9993981272727916</c:v>
                </c:pt>
                <c:pt idx="16">
                  <c:v>8.0264056110376814</c:v>
                </c:pt>
                <c:pt idx="17">
                  <c:v>8.0690321909205434</c:v>
                </c:pt>
                <c:pt idx="18">
                  <c:v>8.1345718079586096</c:v>
                </c:pt>
                <c:pt idx="19">
                  <c:v>8.2313911089035603</c:v>
                </c:pt>
                <c:pt idx="20">
                  <c:v>8.3662890508367997</c:v>
                </c:pt>
                <c:pt idx="21">
                  <c:v>8.5396823576601122</c:v>
                </c:pt>
                <c:pt idx="22">
                  <c:v>8.7408449634219512</c:v>
                </c:pt>
                <c:pt idx="23">
                  <c:v>8.9482536087058957</c:v>
                </c:pt>
                <c:pt idx="24">
                  <c:v>9.1376506261707853</c:v>
                </c:pt>
                <c:pt idx="25">
                  <c:v>9.2923611907323895</c:v>
                </c:pt>
                <c:pt idx="26">
                  <c:v>9.4076367660934146</c:v>
                </c:pt>
                <c:pt idx="27">
                  <c:v>9.4877786614430857</c:v>
                </c:pt>
                <c:pt idx="28">
                  <c:v>9.5408475914044502</c:v>
                </c:pt>
                <c:pt idx="29">
                  <c:v>9.6302621242624156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2-4F61-887A-8C6F9AE10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'TRUCK inputs - 8 voc'!$I$4:$I$5</c15:sqref>
                        </c15:formulaRef>
                      </c:ext>
                    </c:extLst>
                    <c:strCache>
                      <c:ptCount val="2"/>
                      <c:pt idx="0">
                        <c:v>class 7&amp;8 Voc</c:v>
                      </c:pt>
                      <c:pt idx="1">
                        <c:v>Std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- 8 voc'!$I$6:$I$35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5.8566556358249686</c:v>
                      </c:pt>
                      <c:pt idx="1">
                        <c:v>5.8566556358249686</c:v>
                      </c:pt>
                      <c:pt idx="2">
                        <c:v>5.8566556358249686</c:v>
                      </c:pt>
                      <c:pt idx="3">
                        <c:v>6.3166438137231244</c:v>
                      </c:pt>
                      <c:pt idx="4">
                        <c:v>6.3166438137231244</c:v>
                      </c:pt>
                      <c:pt idx="5">
                        <c:v>6.3166438137231244</c:v>
                      </c:pt>
                      <c:pt idx="6">
                        <c:v>6.5940740122454322</c:v>
                      </c:pt>
                      <c:pt idx="7">
                        <c:v>6.5940740122454322</c:v>
                      </c:pt>
                      <c:pt idx="8">
                        <c:v>6.5940740122454322</c:v>
                      </c:pt>
                      <c:pt idx="9">
                        <c:v>6.5940740122454322</c:v>
                      </c:pt>
                      <c:pt idx="10">
                        <c:v>6.5940740122454322</c:v>
                      </c:pt>
                      <c:pt idx="11">
                        <c:v>6.5940740122454322</c:v>
                      </c:pt>
                      <c:pt idx="12">
                        <c:v>6.5940740122454322</c:v>
                      </c:pt>
                      <c:pt idx="13">
                        <c:v>6.5940740122454322</c:v>
                      </c:pt>
                      <c:pt idx="14">
                        <c:v>6.5940740122454322</c:v>
                      </c:pt>
                      <c:pt idx="15">
                        <c:v>6.5940740122454322</c:v>
                      </c:pt>
                      <c:pt idx="16">
                        <c:v>6.5940740122454322</c:v>
                      </c:pt>
                      <c:pt idx="17">
                        <c:v>6.5940740122454322</c:v>
                      </c:pt>
                      <c:pt idx="18">
                        <c:v>6.5940740122454322</c:v>
                      </c:pt>
                      <c:pt idx="19">
                        <c:v>6.5940740122454322</c:v>
                      </c:pt>
                      <c:pt idx="20">
                        <c:v>6.5940740122454322</c:v>
                      </c:pt>
                      <c:pt idx="21">
                        <c:v>6.5940740122454322</c:v>
                      </c:pt>
                      <c:pt idx="22">
                        <c:v>6.5940740122454322</c:v>
                      </c:pt>
                      <c:pt idx="23">
                        <c:v>6.5940740122454322</c:v>
                      </c:pt>
                      <c:pt idx="24">
                        <c:v>6.5940740122454322</c:v>
                      </c:pt>
                      <c:pt idx="25">
                        <c:v>6.5940740122454322</c:v>
                      </c:pt>
                      <c:pt idx="26">
                        <c:v>6.5940740122454322</c:v>
                      </c:pt>
                      <c:pt idx="27">
                        <c:v>6.5940740122454322</c:v>
                      </c:pt>
                      <c:pt idx="28">
                        <c:v>6.5940740122454322</c:v>
                      </c:pt>
                      <c:pt idx="29">
                        <c:v>6.5940740122454322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062-4F61-887A-8C6F9AE106F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voc'!$L$4:$L$5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voc'!$L$6:$L$35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9.1754044778337533</c:v>
                      </c:pt>
                      <c:pt idx="1">
                        <c:v>9.3862055833604501</c:v>
                      </c:pt>
                      <c:pt idx="2">
                        <c:v>9.5911022888856703</c:v>
                      </c:pt>
                      <c:pt idx="3">
                        <c:v>9.8951345533316424</c:v>
                      </c:pt>
                      <c:pt idx="4">
                        <c:v>10.230503773927802</c:v>
                      </c:pt>
                      <c:pt idx="5">
                        <c:v>10.498425728055857</c:v>
                      </c:pt>
                      <c:pt idx="6">
                        <c:v>10.81928626342552</c:v>
                      </c:pt>
                      <c:pt idx="7">
                        <c:v>11.301180035708263</c:v>
                      </c:pt>
                      <c:pt idx="8">
                        <c:v>11.562880206047257</c:v>
                      </c:pt>
                      <c:pt idx="9">
                        <c:v>11.792596578351473</c:v>
                      </c:pt>
                      <c:pt idx="10">
                        <c:v>11.94353766625734</c:v>
                      </c:pt>
                      <c:pt idx="11">
                        <c:v>12.024785345701106</c:v>
                      </c:pt>
                      <c:pt idx="12">
                        <c:v>12.063874953167465</c:v>
                      </c:pt>
                      <c:pt idx="13">
                        <c:v>12.081664789611395</c:v>
                      </c:pt>
                      <c:pt idx="14">
                        <c:v>12.095688548288747</c:v>
                      </c:pt>
                      <c:pt idx="15">
                        <c:v>12.212826057193588</c:v>
                      </c:pt>
                      <c:pt idx="16">
                        <c:v>12.285617421476143</c:v>
                      </c:pt>
                      <c:pt idx="17">
                        <c:v>12.4005058328285</c:v>
                      </c:pt>
                      <c:pt idx="18">
                        <c:v>12.577150135581316</c:v>
                      </c:pt>
                      <c:pt idx="19">
                        <c:v>12.838100362045148</c:v>
                      </c:pt>
                      <c:pt idx="20">
                        <c:v>13.20168126124001</c:v>
                      </c:pt>
                      <c:pt idx="21">
                        <c:v>13.669015999677978</c:v>
                      </c:pt>
                      <c:pt idx="22">
                        <c:v>14.211195369052399</c:v>
                      </c:pt>
                      <c:pt idx="23">
                        <c:v>14.77020924778485</c:v>
                      </c:pt>
                      <c:pt idx="24">
                        <c:v>15.280677657664587</c:v>
                      </c:pt>
                      <c:pt idx="25">
                        <c:v>15.697658119872758</c:v>
                      </c:pt>
                      <c:pt idx="26">
                        <c:v>16.00835223977051</c:v>
                      </c:pt>
                      <c:pt idx="27">
                        <c:v>16.22435303234624</c:v>
                      </c:pt>
                      <c:pt idx="28">
                        <c:v>16.367385972642769</c:v>
                      </c:pt>
                      <c:pt idx="29">
                        <c:v>16.608378650453059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62-4F61-887A-8C6F9AE106F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voc'!$M$4:$M$5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voc'!$M$6:$M$35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23.280326203585055</c:v>
                      </c:pt>
                      <c:pt idx="1">
                        <c:v>23.66606848153625</c:v>
                      </c:pt>
                      <c:pt idx="2">
                        <c:v>24.041006372571086</c:v>
                      </c:pt>
                      <c:pt idx="3">
                        <c:v>24.597351169554116</c:v>
                      </c:pt>
                      <c:pt idx="4">
                        <c:v>25.211039066419026</c:v>
                      </c:pt>
                      <c:pt idx="5">
                        <c:v>25.701306063075751</c:v>
                      </c:pt>
                      <c:pt idx="6">
                        <c:v>26.288444700270691</c:v>
                      </c:pt>
                      <c:pt idx="7">
                        <c:v>27.330590010718229</c:v>
                      </c:pt>
                      <c:pt idx="8">
                        <c:v>27.896543797525187</c:v>
                      </c:pt>
                      <c:pt idx="9">
                        <c:v>28.393329300678349</c:v>
                      </c:pt>
                      <c:pt idx="10">
                        <c:v>28.71975507325018</c:v>
                      </c:pt>
                      <c:pt idx="11">
                        <c:v>28.895461614789355</c:v>
                      </c:pt>
                      <c:pt idx="12">
                        <c:v>28.979996949029776</c:v>
                      </c:pt>
                      <c:pt idx="13">
                        <c:v>29.018469317194757</c:v>
                      </c:pt>
                      <c:pt idx="14">
                        <c:v>29.048797151213481</c:v>
                      </c:pt>
                      <c:pt idx="15">
                        <c:v>29.322623280929417</c:v>
                      </c:pt>
                      <c:pt idx="16">
                        <c:v>29.492783784977927</c:v>
                      </c:pt>
                      <c:pt idx="17">
                        <c:v>29.761352318865608</c:v>
                      </c:pt>
                      <c:pt idx="18">
                        <c:v>30.174284318285775</c:v>
                      </c:pt>
                      <c:pt idx="19">
                        <c:v>30.784293795430589</c:v>
                      </c:pt>
                      <c:pt idx="20">
                        <c:v>31.634217542281366</c:v>
                      </c:pt>
                      <c:pt idx="21">
                        <c:v>32.726681125506744</c:v>
                      </c:pt>
                      <c:pt idx="22">
                        <c:v>33.994105025124</c:v>
                      </c:pt>
                      <c:pt idx="23">
                        <c:v>35.300882062658161</c:v>
                      </c:pt>
                      <c:pt idx="24">
                        <c:v>36.494176937429401</c:v>
                      </c:pt>
                      <c:pt idx="25">
                        <c:v>37.468930005008986</c:v>
                      </c:pt>
                      <c:pt idx="26">
                        <c:v>38.195223138374267</c:v>
                      </c:pt>
                      <c:pt idx="27">
                        <c:v>38.700156712594591</c:v>
                      </c:pt>
                      <c:pt idx="28">
                        <c:v>39.034517216155471</c:v>
                      </c:pt>
                      <c:pt idx="29">
                        <c:v>39.597872992384907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62-4F61-887A-8C6F9AE106F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voc'!$N$4:$N$5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voc'!$N$6:$N$35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14.926377042494044</c:v>
                      </c:pt>
                      <c:pt idx="1">
                        <c:v>15.2238918000733</c:v>
                      </c:pt>
                      <c:pt idx="2">
                        <c:v>15.513073365420471</c:v>
                      </c:pt>
                      <c:pt idx="3">
                        <c:v>15.942170192151579</c:v>
                      </c:pt>
                      <c:pt idx="4">
                        <c:v>16.415494523710052</c:v>
                      </c:pt>
                      <c:pt idx="5">
                        <c:v>16.79362695823124</c:v>
                      </c:pt>
                      <c:pt idx="6">
                        <c:v>17.246474414409146</c:v>
                      </c:pt>
                      <c:pt idx="7">
                        <c:v>17.881442405291828</c:v>
                      </c:pt>
                      <c:pt idx="8">
                        <c:v>18.226271994158786</c:v>
                      </c:pt>
                      <c:pt idx="9">
                        <c:v>18.528958087618573</c:v>
                      </c:pt>
                      <c:pt idx="10">
                        <c:v>18.727845819400677</c:v>
                      </c:pt>
                      <c:pt idx="11">
                        <c:v>18.834901935805558</c:v>
                      </c:pt>
                      <c:pt idx="12">
                        <c:v>18.886408410769384</c:v>
                      </c:pt>
                      <c:pt idx="13">
                        <c:v>18.909849213192345</c:v>
                      </c:pt>
                      <c:pt idx="14">
                        <c:v>18.928327638073828</c:v>
                      </c:pt>
                      <c:pt idx="15">
                        <c:v>19.143733302863581</c:v>
                      </c:pt>
                      <c:pt idx="16">
                        <c:v>19.277590274561476</c:v>
                      </c:pt>
                      <c:pt idx="17">
                        <c:v>19.488860045067671</c:v>
                      </c:pt>
                      <c:pt idx="18">
                        <c:v>19.813693514906142</c:v>
                      </c:pt>
                      <c:pt idx="19">
                        <c:v>20.293558227191788</c:v>
                      </c:pt>
                      <c:pt idx="20">
                        <c:v>20.96215179750196</c:v>
                      </c:pt>
                      <c:pt idx="21">
                        <c:v>21.821539631115151</c:v>
                      </c:pt>
                      <c:pt idx="22">
                        <c:v>22.818560214763242</c:v>
                      </c:pt>
                      <c:pt idx="23">
                        <c:v>23.846537993195302</c:v>
                      </c:pt>
                      <c:pt idx="24">
                        <c:v>24.785244887445899</c:v>
                      </c:pt>
                      <c:pt idx="25">
                        <c:v>25.552035597834465</c:v>
                      </c:pt>
                      <c:pt idx="26">
                        <c:v>26.123374992606923</c:v>
                      </c:pt>
                      <c:pt idx="27">
                        <c:v>26.520581615446122</c:v>
                      </c:pt>
                      <c:pt idx="28">
                        <c:v>26.783606720550903</c:v>
                      </c:pt>
                      <c:pt idx="29">
                        <c:v>27.226771241109038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62-4F61-887A-8C6F9AE106F0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All Class 7&amp;8 Vocational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- 8 voc'!$AD$4:$AD$5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voc'!$AD$6:$AD$35</c:f>
              <c:numCache>
                <c:formatCode>"$"#,##0</c:formatCode>
                <c:ptCount val="30"/>
                <c:pt idx="0">
                  <c:v>0</c:v>
                </c:pt>
                <c:pt idx="1">
                  <c:v>23.830102902613042</c:v>
                </c:pt>
                <c:pt idx="2">
                  <c:v>46.992740332206807</c:v>
                </c:pt>
                <c:pt idx="3">
                  <c:v>81.362200252066472</c:v>
                </c:pt>
                <c:pt idx="4">
                  <c:v>119.27416004567138</c:v>
                </c:pt>
                <c:pt idx="5">
                  <c:v>149.561514188281</c:v>
                </c:pt>
                <c:pt idx="6">
                  <c:v>185.83333333335759</c:v>
                </c:pt>
                <c:pt idx="7">
                  <c:v>926.20631570770945</c:v>
                </c:pt>
                <c:pt idx="8">
                  <c:v>1328.2777819645421</c:v>
                </c:pt>
                <c:pt idx="9">
                  <c:v>1681.2099123330988</c:v>
                </c:pt>
                <c:pt idx="10">
                  <c:v>1913.1131031262105</c:v>
                </c:pt>
                <c:pt idx="11">
                  <c:v>2037.9405862784147</c:v>
                </c:pt>
                <c:pt idx="12">
                  <c:v>2097.9971608272308</c:v>
                </c:pt>
                <c:pt idx="13">
                  <c:v>2125.329147712132</c:v>
                </c:pt>
                <c:pt idx="14">
                  <c:v>2146.875</c:v>
                </c:pt>
                <c:pt idx="15">
                  <c:v>2108.4743346955097</c:v>
                </c:pt>
                <c:pt idx="16">
                  <c:v>2084.6114675148324</c:v>
                </c:pt>
                <c:pt idx="17">
                  <c:v>2046.9481137953117</c:v>
                </c:pt>
                <c:pt idx="18">
                  <c:v>1989.0396025816528</c:v>
                </c:pt>
                <c:pt idx="19">
                  <c:v>1903.4934577023982</c:v>
                </c:pt>
                <c:pt idx="20">
                  <c:v>1784.3023586972981</c:v>
                </c:pt>
                <c:pt idx="21">
                  <c:v>1631.098102915345</c:v>
                </c:pt>
                <c:pt idx="22">
                  <c:v>1453.3578667348015</c:v>
                </c:pt>
                <c:pt idx="23">
                  <c:v>1270.0988486929491</c:v>
                </c:pt>
                <c:pt idx="24">
                  <c:v>1102.7542744436228</c:v>
                </c:pt>
                <c:pt idx="25">
                  <c:v>966.05743568144931</c:v>
                </c:pt>
                <c:pt idx="26">
                  <c:v>864.20397284266414</c:v>
                </c:pt>
                <c:pt idx="27">
                  <c:v>793.3933997072611</c:v>
                </c:pt>
                <c:pt idx="28">
                  <c:v>746.50355102261551</c:v>
                </c:pt>
                <c:pt idx="29">
                  <c:v>667.5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3F-44B8-B66D-8E2934C3B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'TRUCK inputs - 8 voc'!$AE$4:$AE$5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- 8 voc'!$AE$6:$AE$35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6764</c:v>
                      </c:pt>
                      <c:pt idx="1">
                        <c:v>6574.8338647614382</c:v>
                      </c:pt>
                      <c:pt idx="2">
                        <c:v>6390.9661482687898</c:v>
                      </c:pt>
                      <c:pt idx="3">
                        <c:v>6118.1373682233771</c:v>
                      </c:pt>
                      <c:pt idx="4">
                        <c:v>5817.1878111532897</c:v>
                      </c:pt>
                      <c:pt idx="5">
                        <c:v>5576.7632627082685</c:v>
                      </c:pt>
                      <c:pt idx="6">
                        <c:v>5288.8333333333576</c:v>
                      </c:pt>
                      <c:pt idx="7">
                        <c:v>5602.5853599658076</c:v>
                      </c:pt>
                      <c:pt idx="8">
                        <c:v>5772.9734486621273</c:v>
                      </c:pt>
                      <c:pt idx="9">
                        <c:v>5922.5374843617083</c:v>
                      </c:pt>
                      <c:pt idx="10">
                        <c:v>6020.8124050112037</c:v>
                      </c:pt>
                      <c:pt idx="11">
                        <c:v>6073.7112502565178</c:v>
                      </c:pt>
                      <c:pt idx="12">
                        <c:v>6099.1617629384727</c:v>
                      </c:pt>
                      <c:pt idx="13">
                        <c:v>6110.7443928846997</c:v>
                      </c:pt>
                      <c:pt idx="14">
                        <c:v>6119.875</c:v>
                      </c:pt>
                      <c:pt idx="15">
                        <c:v>5951.6096766349319</c:v>
                      </c:pt>
                      <c:pt idx="16">
                        <c:v>5847.0465647529927</c:v>
                      </c:pt>
                      <c:pt idx="17">
                        <c:v>5682.0120180237482</c:v>
                      </c:pt>
                      <c:pt idx="18">
                        <c:v>5428.2665610715621</c:v>
                      </c:pt>
                      <c:pt idx="19">
                        <c:v>5053.4175938308936</c:v>
                      </c:pt>
                      <c:pt idx="20">
                        <c:v>4531.1420379960437</c:v>
                      </c:pt>
                      <c:pt idx="21">
                        <c:v>3859.8264908396181</c:v>
                      </c:pt>
                      <c:pt idx="22">
                        <c:v>3080.9983617237081</c:v>
                      </c:pt>
                      <c:pt idx="23">
                        <c:v>2277.9878491227419</c:v>
                      </c:pt>
                      <c:pt idx="24">
                        <c:v>1544.7117801750601</c:v>
                      </c:pt>
                      <c:pt idx="25">
                        <c:v>945.72898665012781</c:v>
                      </c:pt>
                      <c:pt idx="26">
                        <c:v>499.42406655241393</c:v>
                      </c:pt>
                      <c:pt idx="27">
                        <c:v>189.14392187738667</c:v>
                      </c:pt>
                      <c:pt idx="28">
                        <c:v>-16.319589988854204</c:v>
                      </c:pt>
                      <c:pt idx="29">
                        <c:v>-362.5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B3F-44B8-B66D-8E2934C3B8F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voc'!$AF$4:$AF$5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voc'!$AF$6:$AF$35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322656</c:v>
                      </c:pt>
                      <c:pt idx="1">
                        <c:v>305056.53931182483</c:v>
                      </c:pt>
                      <c:pt idx="2">
                        <c:v>287950.02791560767</c:v>
                      </c:pt>
                      <c:pt idx="3">
                        <c:v>262566.84089348803</c:v>
                      </c:pt>
                      <c:pt idx="4">
                        <c:v>234567.37950945646</c:v>
                      </c:pt>
                      <c:pt idx="5">
                        <c:v>212198.98686087714</c:v>
                      </c:pt>
                      <c:pt idx="6">
                        <c:v>185410.83333333337</c:v>
                      </c:pt>
                      <c:pt idx="7">
                        <c:v>153399.55329746869</c:v>
                      </c:pt>
                      <c:pt idx="8">
                        <c:v>136015.3123713588</c:v>
                      </c:pt>
                      <c:pt idx="9">
                        <c:v>120755.69387116659</c:v>
                      </c:pt>
                      <c:pt idx="10">
                        <c:v>110728.96658854511</c:v>
                      </c:pt>
                      <c:pt idx="11">
                        <c:v>105331.83890495136</c:v>
                      </c:pt>
                      <c:pt idx="12">
                        <c:v>102735.1911724644</c:v>
                      </c:pt>
                      <c:pt idx="13">
                        <c:v>101553.44642091604</c:v>
                      </c:pt>
                      <c:pt idx="14">
                        <c:v>100621.875</c:v>
                      </c:pt>
                      <c:pt idx="15">
                        <c:v>98351.271402470971</c:v>
                      </c:pt>
                      <c:pt idx="16">
                        <c:v>96940.277305411233</c:v>
                      </c:pt>
                      <c:pt idx="17">
                        <c:v>94713.270409242934</c:v>
                      </c:pt>
                      <c:pt idx="18">
                        <c:v>91289.181976225431</c:v>
                      </c:pt>
                      <c:pt idx="19">
                        <c:v>86230.900230912463</c:v>
                      </c:pt>
                      <c:pt idx="20">
                        <c:v>79183.216654378979</c:v>
                      </c:pt>
                      <c:pt idx="21">
                        <c:v>70124.359689872741</c:v>
                      </c:pt>
                      <c:pt idx="22">
                        <c:v>59614.707930010998</c:v>
                      </c:pt>
                      <c:pt idx="23">
                        <c:v>48778.734585642778</c:v>
                      </c:pt>
                      <c:pt idx="24">
                        <c:v>38883.770805599823</c:v>
                      </c:pt>
                      <c:pt idx="25">
                        <c:v>30800.985483962722</c:v>
                      </c:pt>
                      <c:pt idx="26">
                        <c:v>24778.46380865504</c:v>
                      </c:pt>
                      <c:pt idx="27">
                        <c:v>20591.485775085952</c:v>
                      </c:pt>
                      <c:pt idx="28">
                        <c:v>17818.922897158511</c:v>
                      </c:pt>
                      <c:pt idx="29">
                        <c:v>13147.5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3F-44B8-B66D-8E2934C3B8F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voc'!$AG$4:$AG$5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voc'!$AG$6:$AG$35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110885</c:v>
                      </c:pt>
                      <c:pt idx="1">
                        <c:v>105267.69975247007</c:v>
                      </c:pt>
                      <c:pt idx="2">
                        <c:v>99807.736381836206</c:v>
                      </c:pt>
                      <c:pt idx="3">
                        <c:v>91706.068650719186</c:v>
                      </c:pt>
                      <c:pt idx="4">
                        <c:v>82769.352682547236</c:v>
                      </c:pt>
                      <c:pt idx="5">
                        <c:v>75629.930640704086</c:v>
                      </c:pt>
                      <c:pt idx="6">
                        <c:v>67079.833333333358</c:v>
                      </c:pt>
                      <c:pt idx="7">
                        <c:v>62164.647097111483</c:v>
                      </c:pt>
                      <c:pt idx="8">
                        <c:v>59495.376089159094</c:v>
                      </c:pt>
                      <c:pt idx="9">
                        <c:v>57152.331176924781</c:v>
                      </c:pt>
                      <c:pt idx="10">
                        <c:v>55612.772875017552</c:v>
                      </c:pt>
                      <c:pt idx="11">
                        <c:v>54784.068503439463</c:v>
                      </c:pt>
                      <c:pt idx="12">
                        <c:v>54385.365072001012</c:v>
                      </c:pt>
                      <c:pt idx="13">
                        <c:v>54203.913548318422</c:v>
                      </c:pt>
                      <c:pt idx="14">
                        <c:v>54060.875</c:v>
                      </c:pt>
                      <c:pt idx="15">
                        <c:v>53035.341997820513</c:v>
                      </c:pt>
                      <c:pt idx="16">
                        <c:v>52398.057262611786</c:v>
                      </c:pt>
                      <c:pt idx="17">
                        <c:v>51392.21499644639</c:v>
                      </c:pt>
                      <c:pt idx="18">
                        <c:v>49845.703005422496</c:v>
                      </c:pt>
                      <c:pt idx="19">
                        <c:v>47561.096890209017</c:v>
                      </c:pt>
                      <c:pt idx="20">
                        <c:v>44377.964394286326</c:v>
                      </c:pt>
                      <c:pt idx="21">
                        <c:v>40286.472251300744</c:v>
                      </c:pt>
                      <c:pt idx="22">
                        <c:v>35539.719126765405</c:v>
                      </c:pt>
                      <c:pt idx="23">
                        <c:v>30645.580719039648</c:v>
                      </c:pt>
                      <c:pt idx="24">
                        <c:v>26176.455450829933</c:v>
                      </c:pt>
                      <c:pt idx="25">
                        <c:v>22525.812465021441</c:v>
                      </c:pt>
                      <c:pt idx="26">
                        <c:v>19805.70106332592</c:v>
                      </c:pt>
                      <c:pt idx="27">
                        <c:v>17914.624982279245</c:v>
                      </c:pt>
                      <c:pt idx="28">
                        <c:v>16662.378779980143</c:v>
                      </c:pt>
                      <c:pt idx="29">
                        <c:v>14552.5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3F-44B8-B66D-8E2934C3B8F1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Incremental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Class 7&amp;8 Vocational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- 8 voc'!$V$4:$V$5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voc'!$V$6:$V$35</c:f>
              <c:numCache>
                <c:formatCode>"$"#,##0</c:formatCode>
                <c:ptCount val="30"/>
                <c:pt idx="0">
                  <c:v>81898</c:v>
                </c:pt>
                <c:pt idx="1">
                  <c:v>82083.833333333328</c:v>
                </c:pt>
                <c:pt idx="2">
                  <c:v>82269.666666666657</c:v>
                </c:pt>
                <c:pt idx="3">
                  <c:v>82455.499999999985</c:v>
                </c:pt>
                <c:pt idx="4">
                  <c:v>82641.333333333314</c:v>
                </c:pt>
                <c:pt idx="5">
                  <c:v>82827.166666666642</c:v>
                </c:pt>
                <c:pt idx="6">
                  <c:v>83013</c:v>
                </c:pt>
                <c:pt idx="7">
                  <c:v>83442.375</c:v>
                </c:pt>
                <c:pt idx="8">
                  <c:v>83871.75</c:v>
                </c:pt>
                <c:pt idx="9">
                  <c:v>84301.125</c:v>
                </c:pt>
                <c:pt idx="10">
                  <c:v>84730.5</c:v>
                </c:pt>
                <c:pt idx="11">
                  <c:v>85159.875</c:v>
                </c:pt>
                <c:pt idx="12">
                  <c:v>85589.25</c:v>
                </c:pt>
                <c:pt idx="13">
                  <c:v>86018.625</c:v>
                </c:pt>
                <c:pt idx="14">
                  <c:v>86448</c:v>
                </c:pt>
                <c:pt idx="15">
                  <c:v>86378</c:v>
                </c:pt>
                <c:pt idx="16">
                  <c:v>86308</c:v>
                </c:pt>
                <c:pt idx="17">
                  <c:v>86238</c:v>
                </c:pt>
                <c:pt idx="18">
                  <c:v>86168</c:v>
                </c:pt>
                <c:pt idx="19">
                  <c:v>86098</c:v>
                </c:pt>
                <c:pt idx="20">
                  <c:v>86028</c:v>
                </c:pt>
                <c:pt idx="21">
                  <c:v>85958</c:v>
                </c:pt>
                <c:pt idx="22">
                  <c:v>85888</c:v>
                </c:pt>
                <c:pt idx="23">
                  <c:v>85818</c:v>
                </c:pt>
                <c:pt idx="24">
                  <c:v>85748</c:v>
                </c:pt>
                <c:pt idx="25">
                  <c:v>85678</c:v>
                </c:pt>
                <c:pt idx="26">
                  <c:v>85608</c:v>
                </c:pt>
                <c:pt idx="27">
                  <c:v>85538</c:v>
                </c:pt>
                <c:pt idx="28">
                  <c:v>85468</c:v>
                </c:pt>
                <c:pt idx="29">
                  <c:v>85398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5-4D43-8CC0-4C515AF6DEF8}"/>
            </c:ext>
          </c:extLst>
        </c:ser>
        <c:ser>
          <c:idx val="4"/>
          <c:order val="4"/>
          <c:tx>
            <c:strRef>
              <c:f>'TRUCK inputs - 8 voc'!$AC$5</c:f>
              <c:strCache>
                <c:ptCount val="1"/>
                <c:pt idx="0">
                  <c:v>Baseline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'TRUCK inputs - 8 voc'!$U$6:$U$35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voc'!$AC$6:$AC$35</c:f>
              <c:numCache>
                <c:formatCode>"$"#,##0</c:formatCode>
                <c:ptCount val="30"/>
                <c:pt idx="0">
                  <c:v>81898</c:v>
                </c:pt>
                <c:pt idx="1">
                  <c:v>82009.100849793598</c:v>
                </c:pt>
                <c:pt idx="2">
                  <c:v>82148.907841415799</c:v>
                </c:pt>
                <c:pt idx="3">
                  <c:v>82304.395976705782</c:v>
                </c:pt>
                <c:pt idx="4">
                  <c:v>82474.172613639836</c:v>
                </c:pt>
                <c:pt idx="5">
                  <c:v>82644.145945552678</c:v>
                </c:pt>
                <c:pt idx="6">
                  <c:v>82827.166666666642</c:v>
                </c:pt>
                <c:pt idx="7">
                  <c:v>83037.8505026809</c:v>
                </c:pt>
                <c:pt idx="8">
                  <c:v>83446.393709348864</c:v>
                </c:pt>
                <c:pt idx="9">
                  <c:v>83815.84790700287</c:v>
                </c:pt>
                <c:pt idx="10">
                  <c:v>84154.683571299582</c:v>
                </c:pt>
                <c:pt idx="11">
                  <c:v>84191.182466604063</c:v>
                </c:pt>
                <c:pt idx="12">
                  <c:v>84227.755569188754</c:v>
                </c:pt>
                <c:pt idx="13">
                  <c:v>84264.403029927285</c:v>
                </c:pt>
                <c:pt idx="14">
                  <c:v>84301.125</c:v>
                </c:pt>
                <c:pt idx="15">
                  <c:v>84307.830725171938</c:v>
                </c:pt>
                <c:pt idx="16">
                  <c:v>84319.909683867867</c:v>
                </c:pt>
                <c:pt idx="17">
                  <c:v>84329.394702993392</c:v>
                </c:pt>
                <c:pt idx="18">
                  <c:v>84340.183368722908</c:v>
                </c:pt>
                <c:pt idx="19">
                  <c:v>84354.477774657062</c:v>
                </c:pt>
                <c:pt idx="20">
                  <c:v>84371.726593949134</c:v>
                </c:pt>
                <c:pt idx="21">
                  <c:v>84392.430679444951</c:v>
                </c:pt>
                <c:pt idx="22">
                  <c:v>84416.778456341228</c:v>
                </c:pt>
                <c:pt idx="23">
                  <c:v>84454.394726259314</c:v>
                </c:pt>
                <c:pt idx="24">
                  <c:v>84486.497002834571</c:v>
                </c:pt>
                <c:pt idx="25">
                  <c:v>84522.416710004894</c:v>
                </c:pt>
                <c:pt idx="26">
                  <c:v>84572.040348507464</c:v>
                </c:pt>
                <c:pt idx="27">
                  <c:v>84617.532525963965</c:v>
                </c:pt>
                <c:pt idx="28">
                  <c:v>84669.900061685781</c:v>
                </c:pt>
                <c:pt idx="29">
                  <c:v>84730.5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A5-4D43-8CC0-4C515AF6D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'TRUCK inputs - 8 voc'!$W$4:$W$5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- 8 voc'!$W$6:$W$35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88662</c:v>
                      </c:pt>
                      <c:pt idx="1">
                        <c:v>88571</c:v>
                      </c:pt>
                      <c:pt idx="2">
                        <c:v>88480</c:v>
                      </c:pt>
                      <c:pt idx="3">
                        <c:v>88389</c:v>
                      </c:pt>
                      <c:pt idx="4">
                        <c:v>88298</c:v>
                      </c:pt>
                      <c:pt idx="5">
                        <c:v>88207</c:v>
                      </c:pt>
                      <c:pt idx="6">
                        <c:v>88116</c:v>
                      </c:pt>
                      <c:pt idx="7">
                        <c:v>88404.125</c:v>
                      </c:pt>
                      <c:pt idx="8">
                        <c:v>88692.25</c:v>
                      </c:pt>
                      <c:pt idx="9">
                        <c:v>88980.375</c:v>
                      </c:pt>
                      <c:pt idx="10">
                        <c:v>89268.5</c:v>
                      </c:pt>
                      <c:pt idx="11">
                        <c:v>89556.625</c:v>
                      </c:pt>
                      <c:pt idx="12">
                        <c:v>89844.75</c:v>
                      </c:pt>
                      <c:pt idx="13">
                        <c:v>90132.875</c:v>
                      </c:pt>
                      <c:pt idx="14">
                        <c:v>90421</c:v>
                      </c:pt>
                      <c:pt idx="15">
                        <c:v>90017.46666666666</c:v>
                      </c:pt>
                      <c:pt idx="16">
                        <c:v>89613.93333333332</c:v>
                      </c:pt>
                      <c:pt idx="17">
                        <c:v>89210.39999999998</c:v>
                      </c:pt>
                      <c:pt idx="18">
                        <c:v>88806.86666666664</c:v>
                      </c:pt>
                      <c:pt idx="19">
                        <c:v>88403.333333333299</c:v>
                      </c:pt>
                      <c:pt idx="20">
                        <c:v>87999.799999999959</c:v>
                      </c:pt>
                      <c:pt idx="21">
                        <c:v>87596.266666666619</c:v>
                      </c:pt>
                      <c:pt idx="22">
                        <c:v>87192.733333333279</c:v>
                      </c:pt>
                      <c:pt idx="23">
                        <c:v>86789.199999999939</c:v>
                      </c:pt>
                      <c:pt idx="24">
                        <c:v>86385.666666666599</c:v>
                      </c:pt>
                      <c:pt idx="25">
                        <c:v>85982.133333333259</c:v>
                      </c:pt>
                      <c:pt idx="26">
                        <c:v>85578.599999999919</c:v>
                      </c:pt>
                      <c:pt idx="27">
                        <c:v>85175.066666666578</c:v>
                      </c:pt>
                      <c:pt idx="28">
                        <c:v>84771.533333333238</c:v>
                      </c:pt>
                      <c:pt idx="29">
                        <c:v>84368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2A5-4D43-8CC0-4C515AF6DE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voc'!$X$4:$X$5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voc'!$X$6:$X$35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404554</c:v>
                      </c:pt>
                      <c:pt idx="1">
                        <c:v>381834.66666666669</c:v>
                      </c:pt>
                      <c:pt idx="2">
                        <c:v>359115.33333333337</c:v>
                      </c:pt>
                      <c:pt idx="3">
                        <c:v>336396.00000000006</c:v>
                      </c:pt>
                      <c:pt idx="4">
                        <c:v>313676.66666666674</c:v>
                      </c:pt>
                      <c:pt idx="5">
                        <c:v>290957.33333333343</c:v>
                      </c:pt>
                      <c:pt idx="6">
                        <c:v>268238</c:v>
                      </c:pt>
                      <c:pt idx="7">
                        <c:v>257823.625</c:v>
                      </c:pt>
                      <c:pt idx="8">
                        <c:v>247409.25</c:v>
                      </c:pt>
                      <c:pt idx="9">
                        <c:v>236994.875</c:v>
                      </c:pt>
                      <c:pt idx="10">
                        <c:v>226580.5</c:v>
                      </c:pt>
                      <c:pt idx="11">
                        <c:v>216166.125</c:v>
                      </c:pt>
                      <c:pt idx="12">
                        <c:v>205751.75</c:v>
                      </c:pt>
                      <c:pt idx="13">
                        <c:v>195337.375</c:v>
                      </c:pt>
                      <c:pt idx="14">
                        <c:v>184923</c:v>
                      </c:pt>
                      <c:pt idx="15">
                        <c:v>179120</c:v>
                      </c:pt>
                      <c:pt idx="16">
                        <c:v>173317</c:v>
                      </c:pt>
                      <c:pt idx="17">
                        <c:v>167514</c:v>
                      </c:pt>
                      <c:pt idx="18">
                        <c:v>161711</c:v>
                      </c:pt>
                      <c:pt idx="19">
                        <c:v>155908</c:v>
                      </c:pt>
                      <c:pt idx="20">
                        <c:v>150105</c:v>
                      </c:pt>
                      <c:pt idx="21">
                        <c:v>144302</c:v>
                      </c:pt>
                      <c:pt idx="22">
                        <c:v>138499</c:v>
                      </c:pt>
                      <c:pt idx="23">
                        <c:v>132696</c:v>
                      </c:pt>
                      <c:pt idx="24">
                        <c:v>126893</c:v>
                      </c:pt>
                      <c:pt idx="25">
                        <c:v>121090</c:v>
                      </c:pt>
                      <c:pt idx="26">
                        <c:v>115287</c:v>
                      </c:pt>
                      <c:pt idx="27">
                        <c:v>109484</c:v>
                      </c:pt>
                      <c:pt idx="28">
                        <c:v>103681</c:v>
                      </c:pt>
                      <c:pt idx="29">
                        <c:v>97878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A5-4D43-8CC0-4C515AF6DEF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voc'!$Y$4:$Y$5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voc'!$Y$6:$Y$35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192783</c:v>
                      </c:pt>
                      <c:pt idx="1">
                        <c:v>185637</c:v>
                      </c:pt>
                      <c:pt idx="2">
                        <c:v>178491</c:v>
                      </c:pt>
                      <c:pt idx="3">
                        <c:v>171345</c:v>
                      </c:pt>
                      <c:pt idx="4">
                        <c:v>164199</c:v>
                      </c:pt>
                      <c:pt idx="5">
                        <c:v>157053</c:v>
                      </c:pt>
                      <c:pt idx="6">
                        <c:v>149907</c:v>
                      </c:pt>
                      <c:pt idx="7">
                        <c:v>148463.875</c:v>
                      </c:pt>
                      <c:pt idx="8">
                        <c:v>147020.75</c:v>
                      </c:pt>
                      <c:pt idx="9">
                        <c:v>145577.625</c:v>
                      </c:pt>
                      <c:pt idx="10">
                        <c:v>144134.5</c:v>
                      </c:pt>
                      <c:pt idx="11">
                        <c:v>142691.375</c:v>
                      </c:pt>
                      <c:pt idx="12">
                        <c:v>141248.25</c:v>
                      </c:pt>
                      <c:pt idx="13">
                        <c:v>139805.125</c:v>
                      </c:pt>
                      <c:pt idx="14">
                        <c:v>138362</c:v>
                      </c:pt>
                      <c:pt idx="15">
                        <c:v>135756.73333333334</c:v>
                      </c:pt>
                      <c:pt idx="16">
                        <c:v>133151.46666666667</c:v>
                      </c:pt>
                      <c:pt idx="17">
                        <c:v>130546.20000000001</c:v>
                      </c:pt>
                      <c:pt idx="18">
                        <c:v>127940.93333333335</c:v>
                      </c:pt>
                      <c:pt idx="19">
                        <c:v>125335.66666666669</c:v>
                      </c:pt>
                      <c:pt idx="20">
                        <c:v>122730.40000000002</c:v>
                      </c:pt>
                      <c:pt idx="21">
                        <c:v>120125.13333333336</c:v>
                      </c:pt>
                      <c:pt idx="22">
                        <c:v>117519.8666666667</c:v>
                      </c:pt>
                      <c:pt idx="23">
                        <c:v>114914.60000000003</c:v>
                      </c:pt>
                      <c:pt idx="24">
                        <c:v>112309.33333333337</c:v>
                      </c:pt>
                      <c:pt idx="25">
                        <c:v>109704.06666666671</c:v>
                      </c:pt>
                      <c:pt idx="26">
                        <c:v>107098.80000000005</c:v>
                      </c:pt>
                      <c:pt idx="27">
                        <c:v>104493.53333333338</c:v>
                      </c:pt>
                      <c:pt idx="28">
                        <c:v>101888.26666666672</c:v>
                      </c:pt>
                      <c:pt idx="29">
                        <c:v>99283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A5-4D43-8CC0-4C515AF6DEF8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Estimated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Class 7&amp;8 Vocational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- 8 voc'!$AJ$4:$AJ$5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- 8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- 8 voc'!$AJ$6:$AJ$35</c:f>
              <c:numCache>
                <c:formatCode>"$"#,##0.000</c:formatCode>
                <c:ptCount val="30"/>
                <c:pt idx="0">
                  <c:v>0</c:v>
                </c:pt>
                <c:pt idx="1">
                  <c:v>0.10219227100375373</c:v>
                </c:pt>
                <c:pt idx="2">
                  <c:v>0.23455305364025247</c:v>
                </c:pt>
                <c:pt idx="3">
                  <c:v>0.28345657371238375</c:v>
                </c:pt>
                <c:pt idx="4">
                  <c:v>0.31785450507900659</c:v>
                </c:pt>
                <c:pt idx="5">
                  <c:v>0.41603074435224319</c:v>
                </c:pt>
                <c:pt idx="6">
                  <c:v>0.48156523346686825</c:v>
                </c:pt>
                <c:pt idx="7">
                  <c:v>1.6719482598140416</c:v>
                </c:pt>
                <c:pt idx="8">
                  <c:v>3.2504439341403897</c:v>
                </c:pt>
                <c:pt idx="9">
                  <c:v>5.9728556137335591</c:v>
                </c:pt>
                <c:pt idx="10">
                  <c:v>14.341387010410198</c:v>
                </c:pt>
                <c:pt idx="11">
                  <c:v>12.765513870604126</c:v>
                </c:pt>
                <c:pt idx="12">
                  <c:v>13.22029988706981</c:v>
                </c:pt>
                <c:pt idx="13">
                  <c:v>14.742846372245516</c:v>
                </c:pt>
                <c:pt idx="14">
                  <c:v>16.869424485615493</c:v>
                </c:pt>
                <c:pt idx="15">
                  <c:v>10.84206431015734</c:v>
                </c:pt>
                <c:pt idx="16">
                  <c:v>8.8862988451572864</c:v>
                </c:pt>
                <c:pt idx="17">
                  <c:v>6.8488474537099275</c:v>
                </c:pt>
                <c:pt idx="18">
                  <c:v>5.0103555191923022</c:v>
                </c:pt>
                <c:pt idx="19">
                  <c:v>3.529710041390334</c:v>
                </c:pt>
                <c:pt idx="20">
                  <c:v>2.4362956925277337</c:v>
                </c:pt>
                <c:pt idx="21">
                  <c:v>1.6785277495094015</c:v>
                </c:pt>
                <c:pt idx="22">
                  <c:v>1.1746000379072692</c:v>
                </c:pt>
                <c:pt idx="23">
                  <c:v>0.84874116570627056</c:v>
                </c:pt>
                <c:pt idx="24">
                  <c:v>0.64004727899126956</c:v>
                </c:pt>
                <c:pt idx="25">
                  <c:v>0.50862104915646922</c:v>
                </c:pt>
                <c:pt idx="26">
                  <c:v>0.42713118854296905</c:v>
                </c:pt>
                <c:pt idx="27">
                  <c:v>0.376769768872243</c:v>
                </c:pt>
                <c:pt idx="28">
                  <c:v>0.34624015341032993</c:v>
                </c:pt>
                <c:pt idx="29">
                  <c:v>0.29750419266100453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1D-4F0F-B198-7A933B321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'TRUCK inputs - 8 voc'!$AK$4:$AK$5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- 8 voc'!$AK$6:$AK$35</c15:sqref>
                        </c15:formulaRef>
                      </c:ext>
                    </c:extLst>
                    <c:numCache>
                      <c:formatCode>"$"#,##0.000</c:formatCode>
                      <c:ptCount val="30"/>
                      <c:pt idx="0">
                        <c:v>1.2894378991444466</c:v>
                      </c:pt>
                      <c:pt idx="1">
                        <c:v>1.2711046046977734</c:v>
                      </c:pt>
                      <c:pt idx="2">
                        <c:v>1.2737546176590187</c:v>
                      </c:pt>
                      <c:pt idx="3">
                        <c:v>1.240169659951909</c:v>
                      </c:pt>
                      <c:pt idx="4">
                        <c:v>1.2002917185481885</c:v>
                      </c:pt>
                      <c:pt idx="5">
                        <c:v>1.1865482079190142</c:v>
                      </c:pt>
                      <c:pt idx="6">
                        <c:v>1.1549095461410963</c:v>
                      </c:pt>
                      <c:pt idx="7">
                        <c:v>1.1670648344330443</c:v>
                      </c:pt>
                      <c:pt idx="8">
                        <c:v>1.2342096860752767</c:v>
                      </c:pt>
                      <c:pt idx="9">
                        <c:v>1.2969787969353281</c:v>
                      </c:pt>
                      <c:pt idx="10">
                        <c:v>1.3599178252415733</c:v>
                      </c:pt>
                      <c:pt idx="11">
                        <c:v>1.3624492259025751</c:v>
                      </c:pt>
                      <c:pt idx="12">
                        <c:v>1.3678430256257903</c:v>
                      </c:pt>
                      <c:pt idx="13">
                        <c:v>1.3746520606481316</c:v>
                      </c:pt>
                      <c:pt idx="14">
                        <c:v>1.3817469385825305</c:v>
                      </c:pt>
                      <c:pt idx="15">
                        <c:v>1.3204381336719442</c:v>
                      </c:pt>
                      <c:pt idx="16">
                        <c:v>1.2839744912922491</c:v>
                      </c:pt>
                      <c:pt idx="17">
                        <c:v>1.2278137109606813</c:v>
                      </c:pt>
                      <c:pt idx="18">
                        <c:v>1.1453805580910648</c:v>
                      </c:pt>
                      <c:pt idx="19">
                        <c:v>1.031609092148521</c:v>
                      </c:pt>
                      <c:pt idx="20">
                        <c:v>0.88666481396469388</c:v>
                      </c:pt>
                      <c:pt idx="21">
                        <c:v>0.71931635263258031</c:v>
                      </c:pt>
                      <c:pt idx="22">
                        <c:v>0.54616423494357225</c:v>
                      </c:pt>
                      <c:pt idx="23">
                        <c:v>0.38600605541368771</c:v>
                      </c:pt>
                      <c:pt idx="24">
                        <c:v>0.25230304948587623</c:v>
                      </c:pt>
                      <c:pt idx="25">
                        <c:v>0.15034202986713416</c:v>
                      </c:pt>
                      <c:pt idx="26">
                        <c:v>7.7959508223672563E-2</c:v>
                      </c:pt>
                      <c:pt idx="27">
                        <c:v>2.9179516542509044E-2</c:v>
                      </c:pt>
                      <c:pt idx="28">
                        <c:v>-2.500103326264208E-3</c:v>
                      </c:pt>
                      <c:pt idx="29">
                        <c:v>-5.4869855792903592E-2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61D-4F0F-B198-7A933B32145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voc'!$AL$4:$AL$5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voc'!$AL$6:$AL$35</c15:sqref>
                        </c15:formulaRef>
                      </c:ext>
                    </c:extLst>
                    <c:numCache>
                      <c:formatCode>"$"#,##0.000</c:formatCode>
                      <c:ptCount val="30"/>
                      <c:pt idx="0">
                        <c:v>27.230821899799039</c:v>
                      </c:pt>
                      <c:pt idx="1">
                        <c:v>26.295689922824334</c:v>
                      </c:pt>
                      <c:pt idx="2">
                        <c:v>25.517997048658408</c:v>
                      </c:pt>
                      <c:pt idx="3">
                        <c:v>23.926690670587568</c:v>
                      </c:pt>
                      <c:pt idx="4">
                        <c:v>22.0154902570047</c:v>
                      </c:pt>
                      <c:pt idx="5">
                        <c:v>20.533318764647536</c:v>
                      </c:pt>
                      <c:pt idx="6">
                        <c:v>18.50733281189293</c:v>
                      </c:pt>
                      <c:pt idx="7">
                        <c:v>15.35483829180283</c:v>
                      </c:pt>
                      <c:pt idx="8">
                        <c:v>13.962953214038878</c:v>
                      </c:pt>
                      <c:pt idx="9">
                        <c:v>12.678624304967814</c:v>
                      </c:pt>
                      <c:pt idx="10">
                        <c:v>11.883161605429553</c:v>
                      </c:pt>
                      <c:pt idx="11">
                        <c:v>11.309779470026157</c:v>
                      </c:pt>
                      <c:pt idx="12">
                        <c:v>11.049743919311467</c:v>
                      </c:pt>
                      <c:pt idx="13">
                        <c:v>10.947710979278538</c:v>
                      </c:pt>
                      <c:pt idx="14">
                        <c:v>10.873326138702623</c:v>
                      </c:pt>
                      <c:pt idx="15">
                        <c:v>10.592403384824538</c:v>
                      </c:pt>
                      <c:pt idx="16">
                        <c:v>10.420543670505175</c:v>
                      </c:pt>
                      <c:pt idx="17">
                        <c:v>10.149439024738555</c:v>
                      </c:pt>
                      <c:pt idx="18">
                        <c:v>9.7363542223198287</c:v>
                      </c:pt>
                      <c:pt idx="19">
                        <c:v>9.1351299105086525</c:v>
                      </c:pt>
                      <c:pt idx="20">
                        <c:v>8.3140888786542</c:v>
                      </c:pt>
                      <c:pt idx="21">
                        <c:v>7.2847622822707274</c:v>
                      </c:pt>
                      <c:pt idx="22">
                        <c:v>6.1230101691099499</c:v>
                      </c:pt>
                      <c:pt idx="23">
                        <c:v>4.9576798445564387</c:v>
                      </c:pt>
                      <c:pt idx="24">
                        <c:v>3.9171701846618849</c:v>
                      </c:pt>
                      <c:pt idx="25">
                        <c:v>3.0825598659824101</c:v>
                      </c:pt>
                      <c:pt idx="26">
                        <c:v>2.4692511802961215</c:v>
                      </c:pt>
                      <c:pt idx="27">
                        <c:v>2.046524839358332</c:v>
                      </c:pt>
                      <c:pt idx="28">
                        <c:v>1.7685499722863636</c:v>
                      </c:pt>
                      <c:pt idx="29">
                        <c:v>1.3014477676580567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1D-4F0F-B198-7A933B32145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voc'!$AM$4:$AM$5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- 8 voc'!$AM$6:$AM$35</c15:sqref>
                        </c15:formulaRef>
                      </c:ext>
                    </c:extLst>
                    <c:numCache>
                      <c:formatCode>"$"#,##0.000</c:formatCode>
                      <c:ptCount val="30"/>
                      <c:pt idx="0">
                        <c:v>11.740261415716974</c:v>
                      </c:pt>
                      <c:pt idx="1">
                        <c:v>11.370647782752194</c:v>
                      </c:pt>
                      <c:pt idx="2">
                        <c:v>11.092734063942284</c:v>
                      </c:pt>
                      <c:pt idx="3">
                        <c:v>10.460833726574483</c:v>
                      </c:pt>
                      <c:pt idx="4">
                        <c:v>9.7040490782182101</c:v>
                      </c:pt>
                      <c:pt idx="5">
                        <c:v>9.1444457729640725</c:v>
                      </c:pt>
                      <c:pt idx="6">
                        <c:v>8.3600010760439236</c:v>
                      </c:pt>
                      <c:pt idx="7">
                        <c:v>7.7157784996585379</c:v>
                      </c:pt>
                      <c:pt idx="8">
                        <c:v>7.5894273533691781</c:v>
                      </c:pt>
                      <c:pt idx="9">
                        <c:v>7.4715282805209018</c:v>
                      </c:pt>
                      <c:pt idx="10">
                        <c:v>7.4543739250450924</c:v>
                      </c:pt>
                      <c:pt idx="11">
                        <c:v>7.3389864765271522</c:v>
                      </c:pt>
                      <c:pt idx="12">
                        <c:v>7.2967572693246971</c:v>
                      </c:pt>
                      <c:pt idx="13">
                        <c:v>7.2912953356629782</c:v>
                      </c:pt>
                      <c:pt idx="14">
                        <c:v>7.2923117647789528</c:v>
                      </c:pt>
                      <c:pt idx="15">
                        <c:v>7.0980955476625711</c:v>
                      </c:pt>
                      <c:pt idx="16">
                        <c:v>6.980735766206438</c:v>
                      </c:pt>
                      <c:pt idx="17">
                        <c:v>6.7971942165211887</c:v>
                      </c:pt>
                      <c:pt idx="18">
                        <c:v>6.5215911618553104</c:v>
                      </c:pt>
                      <c:pt idx="19">
                        <c:v>6.1288333204735261</c:v>
                      </c:pt>
                      <c:pt idx="20">
                        <c:v>5.6070932671231137</c:v>
                      </c:pt>
                      <c:pt idx="21">
                        <c:v>4.9741588948395981</c:v>
                      </c:pt>
                      <c:pt idx="22">
                        <c:v>4.2842344078809962</c:v>
                      </c:pt>
                      <c:pt idx="23">
                        <c:v>3.6145756503399693</c:v>
                      </c:pt>
                      <c:pt idx="24">
                        <c:v>3.032490281989404</c:v>
                      </c:pt>
                      <c:pt idx="25">
                        <c:v>2.5751700302609022</c:v>
                      </c:pt>
                      <c:pt idx="26">
                        <c:v>2.2442852802931839</c:v>
                      </c:pt>
                      <c:pt idx="27">
                        <c:v>2.0185501417737504</c:v>
                      </c:pt>
                      <c:pt idx="28">
                        <c:v>1.8714098567110062</c:v>
                      </c:pt>
                      <c:pt idx="29">
                        <c:v>1.6251163281380456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61D-4F0F-B198-7A933B32145E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Cost/gal saved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 6 Vocational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- 6 voc'!$B$4:$B$5</c:f>
              <c:strCache>
                <c:ptCount val="2"/>
                <c:pt idx="0">
                  <c:v>Class 6 voc std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voc'!$B$6:$B$35</c:f>
              <c:numCache>
                <c:formatCode>0.000</c:formatCode>
                <c:ptCount val="30"/>
                <c:pt idx="0">
                  <c:v>6.7321384721553654</c:v>
                </c:pt>
                <c:pt idx="1">
                  <c:v>6.7321384721553654</c:v>
                </c:pt>
                <c:pt idx="2">
                  <c:v>6.7321384721553654</c:v>
                </c:pt>
                <c:pt idx="3">
                  <c:v>7.2698652250296014</c:v>
                </c:pt>
                <c:pt idx="4">
                  <c:v>7.2698652250296014</c:v>
                </c:pt>
                <c:pt idx="5">
                  <c:v>7.2698652250296014</c:v>
                </c:pt>
                <c:pt idx="6">
                  <c:v>7.563335246707247</c:v>
                </c:pt>
                <c:pt idx="7">
                  <c:v>7.563335246707247</c:v>
                </c:pt>
                <c:pt idx="8">
                  <c:v>7.563335246707247</c:v>
                </c:pt>
                <c:pt idx="9">
                  <c:v>7.563335246707247</c:v>
                </c:pt>
                <c:pt idx="10">
                  <c:v>7.563335246707247</c:v>
                </c:pt>
                <c:pt idx="11">
                  <c:v>7.563335246707247</c:v>
                </c:pt>
                <c:pt idx="12">
                  <c:v>7.563335246707247</c:v>
                </c:pt>
                <c:pt idx="13">
                  <c:v>7.563335246707247</c:v>
                </c:pt>
                <c:pt idx="14">
                  <c:v>7.563335246707247</c:v>
                </c:pt>
                <c:pt idx="15">
                  <c:v>7.563335246707247</c:v>
                </c:pt>
                <c:pt idx="16">
                  <c:v>7.563335246707247</c:v>
                </c:pt>
                <c:pt idx="17">
                  <c:v>7.563335246707247</c:v>
                </c:pt>
                <c:pt idx="18">
                  <c:v>7.563335246707247</c:v>
                </c:pt>
                <c:pt idx="19">
                  <c:v>7.563335246707247</c:v>
                </c:pt>
                <c:pt idx="20">
                  <c:v>7.563335246707247</c:v>
                </c:pt>
                <c:pt idx="21">
                  <c:v>7.563335246707247</c:v>
                </c:pt>
                <c:pt idx="22">
                  <c:v>7.563335246707247</c:v>
                </c:pt>
                <c:pt idx="23">
                  <c:v>7.563335246707247</c:v>
                </c:pt>
                <c:pt idx="24">
                  <c:v>7.563335246707247</c:v>
                </c:pt>
                <c:pt idx="25">
                  <c:v>7.563335246707247</c:v>
                </c:pt>
                <c:pt idx="26">
                  <c:v>7.563335246707247</c:v>
                </c:pt>
                <c:pt idx="27">
                  <c:v>7.563335246707247</c:v>
                </c:pt>
                <c:pt idx="28">
                  <c:v>7.563335246707247</c:v>
                </c:pt>
                <c:pt idx="29">
                  <c:v>7.563335246707247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F-44FD-A088-FAD398C96040}"/>
            </c:ext>
          </c:extLst>
        </c:ser>
        <c:ser>
          <c:idx val="1"/>
          <c:order val="1"/>
          <c:tx>
            <c:strRef>
              <c:f>'TRUCK inputs - 6 voc'!$C$4:$C$5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voc'!$C$6:$C$35</c:f>
              <c:numCache>
                <c:formatCode>0.000</c:formatCode>
                <c:ptCount val="30"/>
                <c:pt idx="0">
                  <c:v>6.9292659942511481</c:v>
                </c:pt>
                <c:pt idx="1">
                  <c:v>7.1618398884696761</c:v>
                </c:pt>
                <c:pt idx="2">
                  <c:v>7.3587469446322809</c:v>
                </c:pt>
                <c:pt idx="3">
                  <c:v>7.6360076521629079</c:v>
                </c:pt>
                <c:pt idx="4">
                  <c:v>7.9376553310763871</c:v>
                </c:pt>
                <c:pt idx="5">
                  <c:v>8.1862532530971581</c:v>
                </c:pt>
                <c:pt idx="6">
                  <c:v>8.5261972077226353</c:v>
                </c:pt>
                <c:pt idx="7">
                  <c:v>8.7468511750045579</c:v>
                </c:pt>
                <c:pt idx="8">
                  <c:v>8.8990070239761252</c:v>
                </c:pt>
                <c:pt idx="9">
                  <c:v>9.0257265082578453</c:v>
                </c:pt>
                <c:pt idx="10">
                  <c:v>9.0971163051566499</c:v>
                </c:pt>
                <c:pt idx="11">
                  <c:v>9.1287981531399431</c:v>
                </c:pt>
                <c:pt idx="12">
                  <c:v>9.1413563986877282</c:v>
                </c:pt>
                <c:pt idx="13">
                  <c:v>9.1461090352235122</c:v>
                </c:pt>
                <c:pt idx="14">
                  <c:v>9.1489089171697024</c:v>
                </c:pt>
                <c:pt idx="15">
                  <c:v>9.1963608956324876</c:v>
                </c:pt>
                <c:pt idx="16">
                  <c:v>9.2258484123340629</c:v>
                </c:pt>
                <c:pt idx="17">
                  <c:v>9.2723892895653197</c:v>
                </c:pt>
                <c:pt idx="18">
                  <c:v>9.3439472536040604</c:v>
                </c:pt>
                <c:pt idx="19">
                  <c:v>9.449657240454469</c:v>
                </c:pt>
                <c:pt idx="20">
                  <c:v>9.5969425392402741</c:v>
                </c:pt>
                <c:pt idx="21">
                  <c:v>9.786258140627055</c:v>
                </c:pt>
                <c:pt idx="22">
                  <c:v>10.00589302956277</c:v>
                </c:pt>
                <c:pt idx="23">
                  <c:v>10.232347516959791</c:v>
                </c:pt>
                <c:pt idx="24">
                  <c:v>10.4391364116359</c:v>
                </c:pt>
                <c:pt idx="25">
                  <c:v>10.608053679017589</c:v>
                </c:pt>
                <c:pt idx="26">
                  <c:v>10.733914736024348</c:v>
                </c:pt>
                <c:pt idx="27">
                  <c:v>10.821415870828011</c:v>
                </c:pt>
                <c:pt idx="28">
                  <c:v>10.879357994285096</c:v>
                </c:pt>
                <c:pt idx="29">
                  <c:v>10.976983250823821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BF-44FD-A088-FAD398C96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- 6 voc'!$D$4:$D$5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- 6 voc'!$D$6:$D$35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11.482664672020116</c:v>
                      </c:pt>
                      <c:pt idx="1">
                        <c:v>11.800397008782864</c:v>
                      </c:pt>
                      <c:pt idx="2">
                        <c:v>12.069402862986058</c:v>
                      </c:pt>
                      <c:pt idx="3">
                        <c:v>12.448184380112933</c:v>
                      </c:pt>
                      <c:pt idx="4">
                        <c:v>12.860282316651693</c:v>
                      </c:pt>
                      <c:pt idx="5">
                        <c:v>13.199905983114473</c:v>
                      </c:pt>
                      <c:pt idx="6">
                        <c:v>13.664322625551714</c:v>
                      </c:pt>
                      <c:pt idx="7">
                        <c:v>14.296209214149378</c:v>
                      </c:pt>
                      <c:pt idx="8">
                        <c:v>14.731937796445761</c:v>
                      </c:pt>
                      <c:pt idx="9">
                        <c:v>15.094824281642403</c:v>
                      </c:pt>
                      <c:pt idx="10">
                        <c:v>15.299263185591181</c:v>
                      </c:pt>
                      <c:pt idx="11">
                        <c:v>15.389990468174116</c:v>
                      </c:pt>
                      <c:pt idx="12">
                        <c:v>15.425953505846683</c:v>
                      </c:pt>
                      <c:pt idx="13">
                        <c:v>15.439563627270898</c:v>
                      </c:pt>
                      <c:pt idx="14">
                        <c:v>15.447581646947807</c:v>
                      </c:pt>
                      <c:pt idx="15">
                        <c:v>15.594096950572782</c:v>
                      </c:pt>
                      <c:pt idx="16">
                        <c:v>15.685144207244415</c:v>
                      </c:pt>
                      <c:pt idx="17">
                        <c:v>15.828846345267138</c:v>
                      </c:pt>
                      <c:pt idx="18">
                        <c:v>16.04979259803811</c:v>
                      </c:pt>
                      <c:pt idx="19">
                        <c:v>16.376188489659924</c:v>
                      </c:pt>
                      <c:pt idx="20">
                        <c:v>16.830954570446661</c:v>
                      </c:pt>
                      <c:pt idx="21">
                        <c:v>17.41549569426688</c:v>
                      </c:pt>
                      <c:pt idx="22">
                        <c:v>18.093652295562055</c:v>
                      </c:pt>
                      <c:pt idx="23">
                        <c:v>18.792865459123487</c:v>
                      </c:pt>
                      <c:pt idx="24">
                        <c:v>19.431358071470619</c:v>
                      </c:pt>
                      <c:pt idx="25">
                        <c:v>19.952916192326192</c:v>
                      </c:pt>
                      <c:pt idx="26">
                        <c:v>20.341531621635809</c:v>
                      </c:pt>
                      <c:pt idx="27">
                        <c:v>20.611704873597116</c:v>
                      </c:pt>
                      <c:pt idx="28">
                        <c:v>20.790610118141316</c:v>
                      </c:pt>
                      <c:pt idx="29">
                        <c:v>21.092043157744826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02BF-44FD-A088-FAD398C9604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voc'!$E$4:$E$5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voc'!$E$6:$E$35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30.122132906680143</c:v>
                      </c:pt>
                      <c:pt idx="1">
                        <c:v>30.75482712882468</c:v>
                      </c:pt>
                      <c:pt idx="2">
                        <c:v>31.290493254002559</c:v>
                      </c:pt>
                      <c:pt idx="3">
                        <c:v>32.044753521569419</c:v>
                      </c:pt>
                      <c:pt idx="4">
                        <c:v>32.865356127090323</c:v>
                      </c:pt>
                      <c:pt idx="5">
                        <c:v>33.541642128269345</c:v>
                      </c:pt>
                      <c:pt idx="6">
                        <c:v>34.466425955221183</c:v>
                      </c:pt>
                      <c:pt idx="7">
                        <c:v>35.803448738708909</c:v>
                      </c:pt>
                      <c:pt idx="8">
                        <c:v>36.725416465923978</c:v>
                      </c:pt>
                      <c:pt idx="9">
                        <c:v>37.493255991691498</c:v>
                      </c:pt>
                      <c:pt idx="10">
                        <c:v>37.925832782120608</c:v>
                      </c:pt>
                      <c:pt idx="11">
                        <c:v>38.117804642397815</c:v>
                      </c:pt>
                      <c:pt idx="12">
                        <c:v>38.193899627794423</c:v>
                      </c:pt>
                      <c:pt idx="13">
                        <c:v>38.222697584197633</c:v>
                      </c:pt>
                      <c:pt idx="14">
                        <c:v>38.239663089052343</c:v>
                      </c:pt>
                      <c:pt idx="15">
                        <c:v>38.579201640332222</c:v>
                      </c:pt>
                      <c:pt idx="16">
                        <c:v>38.790197030325224</c:v>
                      </c:pt>
                      <c:pt idx="17">
                        <c:v>39.123216275092631</c:v>
                      </c:pt>
                      <c:pt idx="18">
                        <c:v>39.635243133178371</c:v>
                      </c:pt>
                      <c:pt idx="19">
                        <c:v>40.391641853605861</c:v>
                      </c:pt>
                      <c:pt idx="20">
                        <c:v>41.44552914333768</c:v>
                      </c:pt>
                      <c:pt idx="21">
                        <c:v>42.80016064895468</c:v>
                      </c:pt>
                      <c:pt idx="22">
                        <c:v>44.371739209335196</c:v>
                      </c:pt>
                      <c:pt idx="23">
                        <c:v>45.992114820057424</c:v>
                      </c:pt>
                      <c:pt idx="24">
                        <c:v>47.471774973198578</c:v>
                      </c:pt>
                      <c:pt idx="25">
                        <c:v>48.680447953987269</c:v>
                      </c:pt>
                      <c:pt idx="26">
                        <c:v>49.581035924036726</c:v>
                      </c:pt>
                      <c:pt idx="27">
                        <c:v>50.207142769505396</c:v>
                      </c:pt>
                      <c:pt idx="28">
                        <c:v>50.621742651196911</c:v>
                      </c:pt>
                      <c:pt idx="29">
                        <c:v>51.320291779121732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2BF-44FD-A088-FAD398C9604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voc'!$F$4:$F$5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voc'!$F$6:$F$35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18.720382419146905</c:v>
                      </c:pt>
                      <c:pt idx="1">
                        <c:v>19.186514884632928</c:v>
                      </c:pt>
                      <c:pt idx="2">
                        <c:v>19.581162666874679</c:v>
                      </c:pt>
                      <c:pt idx="3">
                        <c:v>20.136857955109459</c:v>
                      </c:pt>
                      <c:pt idx="4">
                        <c:v>20.741430436266608</c:v>
                      </c:pt>
                      <c:pt idx="5">
                        <c:v>21.239678800278448</c:v>
                      </c:pt>
                      <c:pt idx="6">
                        <c:v>21.92100597256956</c:v>
                      </c:pt>
                      <c:pt idx="7">
                        <c:v>22.737904993063822</c:v>
                      </c:pt>
                      <c:pt idx="8">
                        <c:v>23.301212172710116</c:v>
                      </c:pt>
                      <c:pt idx="9">
                        <c:v>23.770349545866949</c:v>
                      </c:pt>
                      <c:pt idx="10">
                        <c:v>24.034646879281336</c:v>
                      </c:pt>
                      <c:pt idx="11">
                        <c:v>24.151938541442721</c:v>
                      </c:pt>
                      <c:pt idx="12">
                        <c:v>24.198431331096504</c:v>
                      </c:pt>
                      <c:pt idx="13">
                        <c:v>24.216026410753003</c:v>
                      </c:pt>
                      <c:pt idx="14">
                        <c:v>24.226392056327008</c:v>
                      </c:pt>
                      <c:pt idx="15">
                        <c:v>24.492278131656814</c:v>
                      </c:pt>
                      <c:pt idx="16">
                        <c:v>24.657504542461865</c:v>
                      </c:pt>
                      <c:pt idx="17">
                        <c:v>24.918285474897178</c:v>
                      </c:pt>
                      <c:pt idx="18">
                        <c:v>25.319243808631864</c:v>
                      </c:pt>
                      <c:pt idx="19">
                        <c:v>25.911565023412496</c:v>
                      </c:pt>
                      <c:pt idx="20">
                        <c:v>26.736843785575147</c:v>
                      </c:pt>
                      <c:pt idx="21">
                        <c:v>27.797629529017044</c:v>
                      </c:pt>
                      <c:pt idx="22">
                        <c:v>29.028302316884375</c:v>
                      </c:pt>
                      <c:pt idx="23">
                        <c:v>30.297187131498369</c:v>
                      </c:pt>
                      <c:pt idx="24">
                        <c:v>31.455880391682264</c:v>
                      </c:pt>
                      <c:pt idx="25">
                        <c:v>32.402368836095114</c:v>
                      </c:pt>
                      <c:pt idx="26">
                        <c:v>33.107601864695475</c:v>
                      </c:pt>
                      <c:pt idx="27">
                        <c:v>33.597894031082106</c:v>
                      </c:pt>
                      <c:pt idx="28">
                        <c:v>33.92255918312339</c:v>
                      </c:pt>
                      <c:pt idx="29">
                        <c:v>34.469579500400677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2BF-44FD-A088-FAD398C96040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Class 4-6 Vocational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- 6 voc'!$I$4:$I$5</c:f>
              <c:strCache>
                <c:ptCount val="2"/>
                <c:pt idx="0">
                  <c:v>class 4-6</c:v>
                </c:pt>
                <c:pt idx="1">
                  <c:v>Std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voc'!$I$6:$I$35</c:f>
              <c:numCache>
                <c:formatCode>0.000</c:formatCode>
                <c:ptCount val="30"/>
                <c:pt idx="0">
                  <c:v>7.9749431617924378</c:v>
                </c:pt>
                <c:pt idx="1">
                  <c:v>7.9749431617924378</c:v>
                </c:pt>
                <c:pt idx="2">
                  <c:v>7.9749431617924378</c:v>
                </c:pt>
                <c:pt idx="3">
                  <c:v>8.6300769718003476</c:v>
                </c:pt>
                <c:pt idx="4">
                  <c:v>8.6300769718003476</c:v>
                </c:pt>
                <c:pt idx="5">
                  <c:v>8.6300769718003476</c:v>
                </c:pt>
                <c:pt idx="6">
                  <c:v>8.9766567924808758</c:v>
                </c:pt>
                <c:pt idx="7">
                  <c:v>8.9766567924808758</c:v>
                </c:pt>
                <c:pt idx="8">
                  <c:v>8.9766567924808758</c:v>
                </c:pt>
                <c:pt idx="9">
                  <c:v>8.9766567924808758</c:v>
                </c:pt>
                <c:pt idx="10">
                  <c:v>8.9766567924808758</c:v>
                </c:pt>
                <c:pt idx="11">
                  <c:v>8.9766567924808758</c:v>
                </c:pt>
                <c:pt idx="12">
                  <c:v>8.9766567924808758</c:v>
                </c:pt>
                <c:pt idx="13">
                  <c:v>8.9766567924808758</c:v>
                </c:pt>
                <c:pt idx="14">
                  <c:v>8.9766567924808758</c:v>
                </c:pt>
                <c:pt idx="15">
                  <c:v>8.9766567924808758</c:v>
                </c:pt>
                <c:pt idx="16">
                  <c:v>8.9766567924808758</c:v>
                </c:pt>
                <c:pt idx="17">
                  <c:v>8.9766567924808758</c:v>
                </c:pt>
                <c:pt idx="18">
                  <c:v>8.9766567924808758</c:v>
                </c:pt>
                <c:pt idx="19">
                  <c:v>8.9766567924808758</c:v>
                </c:pt>
                <c:pt idx="20">
                  <c:v>8.9766567924808758</c:v>
                </c:pt>
                <c:pt idx="21">
                  <c:v>8.9766567924808758</c:v>
                </c:pt>
                <c:pt idx="22">
                  <c:v>8.9766567924808758</c:v>
                </c:pt>
                <c:pt idx="23">
                  <c:v>8.9766567924808758</c:v>
                </c:pt>
                <c:pt idx="24">
                  <c:v>8.9766567924808758</c:v>
                </c:pt>
                <c:pt idx="25">
                  <c:v>8.9766567924808758</c:v>
                </c:pt>
                <c:pt idx="26">
                  <c:v>8.9766567924808758</c:v>
                </c:pt>
                <c:pt idx="27">
                  <c:v>8.9766567924808758</c:v>
                </c:pt>
                <c:pt idx="28">
                  <c:v>8.9766567924808758</c:v>
                </c:pt>
                <c:pt idx="29">
                  <c:v>8.9766567924808758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93-4475-BF6B-07923565C805}"/>
            </c:ext>
          </c:extLst>
        </c:ser>
        <c:ser>
          <c:idx val="1"/>
          <c:order val="1"/>
          <c:tx>
            <c:strRef>
              <c:f>'TRUCK inputs - 6 voc'!$J$4:$J$5</c:f>
              <c:strCache>
                <c:ptCount val="2"/>
                <c:pt idx="0">
                  <c:v>Diesel</c:v>
                </c:pt>
                <c:pt idx="1">
                  <c:v>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voc'!$J$6:$J$35</c:f>
              <c:numCache>
                <c:formatCode>0.000</c:formatCode>
                <c:ptCount val="30"/>
                <c:pt idx="0">
                  <c:v>9.993194235359379</c:v>
                </c:pt>
                <c:pt idx="1">
                  <c:v>10.175060148623018</c:v>
                </c:pt>
                <c:pt idx="2">
                  <c:v>10.410221008353947</c:v>
                </c:pt>
                <c:pt idx="3">
                  <c:v>10.694775449062888</c:v>
                </c:pt>
                <c:pt idx="4">
                  <c:v>11.01664280967314</c:v>
                </c:pt>
                <c:pt idx="5">
                  <c:v>11.333252089569644</c:v>
                </c:pt>
                <c:pt idx="6">
                  <c:v>11.675432564462836</c:v>
                </c:pt>
                <c:pt idx="7">
                  <c:v>11.84954821073023</c:v>
                </c:pt>
                <c:pt idx="8">
                  <c:v>12.151673330884138</c:v>
                </c:pt>
                <c:pt idx="9">
                  <c:v>12.424676418909172</c:v>
                </c:pt>
                <c:pt idx="10">
                  <c:v>12.675246951592575</c:v>
                </c:pt>
                <c:pt idx="11">
                  <c:v>12.701713781288014</c:v>
                </c:pt>
                <c:pt idx="12">
                  <c:v>12.728180610983452</c:v>
                </c:pt>
                <c:pt idx="13">
                  <c:v>12.754647440678891</c:v>
                </c:pt>
                <c:pt idx="14">
                  <c:v>12.781114270374328</c:v>
                </c:pt>
                <c:pt idx="15">
                  <c:v>12.781114270374328</c:v>
                </c:pt>
                <c:pt idx="16">
                  <c:v>12.781114270374328</c:v>
                </c:pt>
                <c:pt idx="17">
                  <c:v>12.781114270374328</c:v>
                </c:pt>
                <c:pt idx="18">
                  <c:v>12.781114270374328</c:v>
                </c:pt>
                <c:pt idx="19">
                  <c:v>12.781114270374328</c:v>
                </c:pt>
                <c:pt idx="20">
                  <c:v>12.781114270374328</c:v>
                </c:pt>
                <c:pt idx="21">
                  <c:v>12.781114270374328</c:v>
                </c:pt>
                <c:pt idx="22">
                  <c:v>12.781114270374328</c:v>
                </c:pt>
                <c:pt idx="23">
                  <c:v>12.781114270374328</c:v>
                </c:pt>
                <c:pt idx="24">
                  <c:v>12.781114270374328</c:v>
                </c:pt>
                <c:pt idx="25">
                  <c:v>12.781114270374328</c:v>
                </c:pt>
                <c:pt idx="26">
                  <c:v>12.781114270374328</c:v>
                </c:pt>
                <c:pt idx="27">
                  <c:v>12.781114270374328</c:v>
                </c:pt>
                <c:pt idx="28">
                  <c:v>12.781114270374328</c:v>
                </c:pt>
                <c:pt idx="29">
                  <c:v>12.781114270374328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3-4475-BF6B-07923565C805}"/>
            </c:ext>
          </c:extLst>
        </c:ser>
        <c:ser>
          <c:idx val="2"/>
          <c:order val="2"/>
          <c:tx>
            <c:strRef>
              <c:f>'TRUCK inputs - 6 voc'!$K$4:$K$5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voc'!$K$6:$K$35</c:f>
              <c:numCache>
                <c:formatCode>0.000</c:formatCode>
                <c:ptCount val="30"/>
                <c:pt idx="0">
                  <c:v>10.285810560110578</c:v>
                </c:pt>
                <c:pt idx="1">
                  <c:v>10.631043521169319</c:v>
                </c:pt>
                <c:pt idx="2">
                  <c:v>10.923332586031014</c:v>
                </c:pt>
                <c:pt idx="3">
                  <c:v>11.334898705124766</c:v>
                </c:pt>
                <c:pt idx="4">
                  <c:v>11.782664873110706</c:v>
                </c:pt>
                <c:pt idx="5">
                  <c:v>12.151683919812656</c:v>
                </c:pt>
                <c:pt idx="6">
                  <c:v>12.656297124332939</c:v>
                </c:pt>
                <c:pt idx="7">
                  <c:v>12.983836131881741</c:v>
                </c:pt>
                <c:pt idx="8">
                  <c:v>13.209696452359086</c:v>
                </c:pt>
                <c:pt idx="9">
                  <c:v>13.397799003289887</c:v>
                </c:pt>
                <c:pt idx="10">
                  <c:v>13.503770101445895</c:v>
                </c:pt>
                <c:pt idx="11">
                  <c:v>13.550798673710364</c:v>
                </c:pt>
                <c:pt idx="12">
                  <c:v>13.569440148114584</c:v>
                </c:pt>
                <c:pt idx="13">
                  <c:v>13.576494967356433</c:v>
                </c:pt>
                <c:pt idx="14">
                  <c:v>13.580651115397666</c:v>
                </c:pt>
                <c:pt idx="15">
                  <c:v>13.651088887821988</c:v>
                </c:pt>
                <c:pt idx="16">
                  <c:v>13.694860192161023</c:v>
                </c:pt>
                <c:pt idx="17">
                  <c:v>13.763945524849829</c:v>
                </c:pt>
                <c:pt idx="18">
                  <c:v>13.870166250505379</c:v>
                </c:pt>
                <c:pt idx="19">
                  <c:v>14.027082278834666</c:v>
                </c:pt>
                <c:pt idx="20">
                  <c:v>14.245712748909988</c:v>
                </c:pt>
                <c:pt idx="21">
                  <c:v>14.52673304940839</c:v>
                </c:pt>
                <c:pt idx="22">
                  <c:v>14.852759335866143</c:v>
                </c:pt>
                <c:pt idx="23">
                  <c:v>15.188908642269617</c:v>
                </c:pt>
                <c:pt idx="24">
                  <c:v>15.4958663197982</c:v>
                </c:pt>
                <c:pt idx="25">
                  <c:v>15.746607309401005</c:v>
                </c:pt>
                <c:pt idx="26">
                  <c:v>15.933435609879128</c:v>
                </c:pt>
                <c:pt idx="27">
                  <c:v>16.063322396896957</c:v>
                </c:pt>
                <c:pt idx="28">
                  <c:v>16.149331752840947</c:v>
                </c:pt>
                <c:pt idx="29">
                  <c:v>16.2942467980236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93-4475-BF6B-07923565C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'TRUCK inputs - 6 voc'!$L$4:$L$5</c15:sqref>
                        </c15:formulaRef>
                      </c:ext>
                    </c:extLst>
                    <c:strCache>
                      <c:ptCount val="2"/>
                      <c:pt idx="0">
                        <c:v>HEV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- 6 voc'!$L$6:$L$35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17.044880892097616</c:v>
                      </c:pt>
                      <c:pt idx="1">
                        <c:v>17.516523145039596</c:v>
                      </c:pt>
                      <c:pt idx="2">
                        <c:v>17.915835750182822</c:v>
                      </c:pt>
                      <c:pt idx="3">
                        <c:v>18.478099477981797</c:v>
                      </c:pt>
                      <c:pt idx="4">
                        <c:v>19.089818137788889</c:v>
                      </c:pt>
                      <c:pt idx="5">
                        <c:v>19.593955906185215</c:v>
                      </c:pt>
                      <c:pt idx="6">
                        <c:v>20.283336514323977</c:v>
                      </c:pt>
                      <c:pt idx="7">
                        <c:v>21.221309706749029</c:v>
                      </c:pt>
                      <c:pt idx="8">
                        <c:v>21.868105724804114</c:v>
                      </c:pt>
                      <c:pt idx="9">
                        <c:v>22.406774848583424</c:v>
                      </c:pt>
                      <c:pt idx="10">
                        <c:v>22.710244197123135</c:v>
                      </c:pt>
                      <c:pt idx="11">
                        <c:v>22.844919881684227</c:v>
                      </c:pt>
                      <c:pt idx="12">
                        <c:v>22.898303456939246</c:v>
                      </c:pt>
                      <c:pt idx="13">
                        <c:v>22.918506337126804</c:v>
                      </c:pt>
                      <c:pt idx="14">
                        <c:v>22.930408294929023</c:v>
                      </c:pt>
                      <c:pt idx="15">
                        <c:v>23.147895783285492</c:v>
                      </c:pt>
                      <c:pt idx="16">
                        <c:v>23.283046437758724</c:v>
                      </c:pt>
                      <c:pt idx="17">
                        <c:v>23.496358059799341</c:v>
                      </c:pt>
                      <c:pt idx="18">
                        <c:v>23.824330936270524</c:v>
                      </c:pt>
                      <c:pt idx="19">
                        <c:v>24.30883338019542</c:v>
                      </c:pt>
                      <c:pt idx="20">
                        <c:v>24.98388868331369</c:v>
                      </c:pt>
                      <c:pt idx="21">
                        <c:v>25.851582212353723</c:v>
                      </c:pt>
                      <c:pt idx="22">
                        <c:v>26.85823866583635</c:v>
                      </c:pt>
                      <c:pt idx="23">
                        <c:v>27.896151505016611</c:v>
                      </c:pt>
                      <c:pt idx="24">
                        <c:v>28.843930686834913</c:v>
                      </c:pt>
                      <c:pt idx="25">
                        <c:v>29.618132172484113</c:v>
                      </c:pt>
                      <c:pt idx="26">
                        <c:v>30.19499337104844</c:v>
                      </c:pt>
                      <c:pt idx="27">
                        <c:v>30.59603886279152</c:v>
                      </c:pt>
                      <c:pt idx="28">
                        <c:v>30.861606017396149</c:v>
                      </c:pt>
                      <c:pt idx="29">
                        <c:v>31.309053574538904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093-4475-BF6B-07923565C80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voc'!$M$4:$M$5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voc'!$M$6:$M$35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44.713329377402353</c:v>
                      </c:pt>
                      <c:pt idx="1">
                        <c:v>45.652501422010587</c:v>
                      </c:pt>
                      <c:pt idx="2">
                        <c:v>46.447644845804582</c:v>
                      </c:pt>
                      <c:pt idx="3">
                        <c:v>47.56726967066303</c:v>
                      </c:pt>
                      <c:pt idx="4">
                        <c:v>48.785373139706351</c:v>
                      </c:pt>
                      <c:pt idx="5">
                        <c:v>49.789252872184989</c:v>
                      </c:pt>
                      <c:pt idx="6">
                        <c:v>51.162003068377835</c:v>
                      </c:pt>
                      <c:pt idx="7">
                        <c:v>53.146681254626728</c:v>
                      </c:pt>
                      <c:pt idx="8">
                        <c:v>54.515251229071005</c:v>
                      </c:pt>
                      <c:pt idx="9">
                        <c:v>55.655033120711813</c:v>
                      </c:pt>
                      <c:pt idx="10">
                        <c:v>56.297150615226514</c:v>
                      </c:pt>
                      <c:pt idx="11">
                        <c:v>56.582113869533906</c:v>
                      </c:pt>
                      <c:pt idx="12">
                        <c:v>56.695069355008592</c:v>
                      </c:pt>
                      <c:pt idx="13">
                        <c:v>56.737817075232847</c:v>
                      </c:pt>
                      <c:pt idx="14">
                        <c:v>56.763000690515767</c:v>
                      </c:pt>
                      <c:pt idx="15">
                        <c:v>57.26701211383488</c:v>
                      </c:pt>
                      <c:pt idx="16">
                        <c:v>57.580213917940128</c:v>
                      </c:pt>
                      <c:pt idx="17">
                        <c:v>58.074548075034187</c:v>
                      </c:pt>
                      <c:pt idx="18">
                        <c:v>58.834601343061124</c:v>
                      </c:pt>
                      <c:pt idx="19">
                        <c:v>59.957400489851274</c:v>
                      </c:pt>
                      <c:pt idx="20">
                        <c:v>61.521792017450778</c:v>
                      </c:pt>
                      <c:pt idx="21">
                        <c:v>63.532608611458514</c:v>
                      </c:pt>
                      <c:pt idx="22">
                        <c:v>65.865461667729775</c:v>
                      </c:pt>
                      <c:pt idx="23">
                        <c:v>68.270749122698291</c:v>
                      </c:pt>
                      <c:pt idx="24">
                        <c:v>70.467158387572951</c:v>
                      </c:pt>
                      <c:pt idx="25">
                        <c:v>72.261313976322327</c:v>
                      </c:pt>
                      <c:pt idx="26">
                        <c:v>73.598147814181701</c:v>
                      </c:pt>
                      <c:pt idx="27">
                        <c:v>74.527541549134597</c:v>
                      </c:pt>
                      <c:pt idx="28">
                        <c:v>75.1429740992577</c:v>
                      </c:pt>
                      <c:pt idx="29">
                        <c:v>76.179901243160998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93-4475-BF6B-07923565C80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voc'!$N$4:$N$5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voc'!$N$6:$N$35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27.788557595555133</c:v>
                      </c:pt>
                      <c:pt idx="1">
                        <c:v>28.480485173437739</c:v>
                      </c:pt>
                      <c:pt idx="2">
                        <c:v>29.066300803761958</c:v>
                      </c:pt>
                      <c:pt idx="3">
                        <c:v>29.891175540663543</c:v>
                      </c:pt>
                      <c:pt idx="4">
                        <c:v>30.788603640003018</c:v>
                      </c:pt>
                      <c:pt idx="5">
                        <c:v>31.528204095283947</c:v>
                      </c:pt>
                      <c:pt idx="6">
                        <c:v>32.539566948067545</c:v>
                      </c:pt>
                      <c:pt idx="7">
                        <c:v>33.752172811158239</c:v>
                      </c:pt>
                      <c:pt idx="8">
                        <c:v>34.588346648589066</c:v>
                      </c:pt>
                      <c:pt idx="9">
                        <c:v>35.284734714938743</c:v>
                      </c:pt>
                      <c:pt idx="10">
                        <c:v>35.677057986306615</c:v>
                      </c:pt>
                      <c:pt idx="11">
                        <c:v>35.851165867036464</c:v>
                      </c:pt>
                      <c:pt idx="12">
                        <c:v>35.920179818468931</c:v>
                      </c:pt>
                      <c:pt idx="13">
                        <c:v>35.946297975325223</c:v>
                      </c:pt>
                      <c:pt idx="14">
                        <c:v>35.961684751759535</c:v>
                      </c:pt>
                      <c:pt idx="15">
                        <c:v>36.356366353488006</c:v>
                      </c:pt>
                      <c:pt idx="16">
                        <c:v>36.601628631264283</c:v>
                      </c:pt>
                      <c:pt idx="17">
                        <c:v>36.988732152899047</c:v>
                      </c:pt>
                      <c:pt idx="18">
                        <c:v>37.583915173252748</c:v>
                      </c:pt>
                      <c:pt idx="19">
                        <c:v>38.46315747842948</c:v>
                      </c:pt>
                      <c:pt idx="20">
                        <c:v>39.688202239870321</c:v>
                      </c:pt>
                      <c:pt idx="21">
                        <c:v>41.26283384023921</c:v>
                      </c:pt>
                      <c:pt idx="22">
                        <c:v>43.089645968390819</c:v>
                      </c:pt>
                      <c:pt idx="23">
                        <c:v>44.973180073813914</c:v>
                      </c:pt>
                      <c:pt idx="24">
                        <c:v>46.693145706741888</c:v>
                      </c:pt>
                      <c:pt idx="25">
                        <c:v>48.098114262522735</c:v>
                      </c:pt>
                      <c:pt idx="26">
                        <c:v>49.144962996419594</c:v>
                      </c:pt>
                      <c:pt idx="27">
                        <c:v>49.872753262624279</c:v>
                      </c:pt>
                      <c:pt idx="28">
                        <c:v>50.354686594688125</c:v>
                      </c:pt>
                      <c:pt idx="29">
                        <c:v>51.166684194536913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93-4475-BF6B-07923565C805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mpgde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All Class 4-6 Vocational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- 6 voc'!$AD$4:$AD$5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voc'!$AD$6:$AD$35</c:f>
              <c:numCache>
                <c:formatCode>"$"#,##0</c:formatCode>
                <c:ptCount val="30"/>
                <c:pt idx="0">
                  <c:v>0</c:v>
                </c:pt>
                <c:pt idx="1">
                  <c:v>81.193194129489726</c:v>
                </c:pt>
                <c:pt idx="2">
                  <c:v>149.93484241377578</c:v>
                </c:pt>
                <c:pt idx="3">
                  <c:v>246.72851965195215</c:v>
                </c:pt>
                <c:pt idx="4">
                  <c:v>352.035861368128</c:v>
                </c:pt>
                <c:pt idx="5">
                  <c:v>438.82315712478288</c:v>
                </c:pt>
                <c:pt idx="6">
                  <c:v>557.50000000001455</c:v>
                </c:pt>
                <c:pt idx="7">
                  <c:v>436.13728488234477</c:v>
                </c:pt>
                <c:pt idx="8">
                  <c:v>352.44947641149122</c:v>
                </c:pt>
                <c:pt idx="9">
                  <c:v>282.75201816868855</c:v>
                </c:pt>
                <c:pt idx="10">
                  <c:v>243.48664854916927</c:v>
                </c:pt>
                <c:pt idx="11">
                  <c:v>226.06119665921943</c:v>
                </c:pt>
                <c:pt idx="12">
                  <c:v>219.15398898211379</c:v>
                </c:pt>
                <c:pt idx="13">
                  <c:v>216.5399735576222</c:v>
                </c:pt>
                <c:pt idx="14">
                  <c:v>215</c:v>
                </c:pt>
                <c:pt idx="15">
                  <c:v>220.32125822554843</c:v>
                </c:pt>
                <c:pt idx="16">
                  <c:v>223.62798422270177</c:v>
                </c:pt>
                <c:pt idx="17">
                  <c:v>228.8470716836238</c:v>
                </c:pt>
                <c:pt idx="18">
                  <c:v>236.87157175885829</c:v>
                </c:pt>
                <c:pt idx="19">
                  <c:v>248.72587489379515</c:v>
                </c:pt>
                <c:pt idx="20">
                  <c:v>265.242427692136</c:v>
                </c:pt>
                <c:pt idx="21">
                  <c:v>286.47225274345845</c:v>
                </c:pt>
                <c:pt idx="22">
                  <c:v>311.10207845837959</c:v>
                </c:pt>
                <c:pt idx="23">
                  <c:v>336.49665299058393</c:v>
                </c:pt>
                <c:pt idx="24">
                  <c:v>359.68593070658693</c:v>
                </c:pt>
                <c:pt idx="25">
                  <c:v>378.62828943662214</c:v>
                </c:pt>
                <c:pt idx="26">
                  <c:v>392.7423307594446</c:v>
                </c:pt>
                <c:pt idx="27">
                  <c:v>402.55469577356064</c:v>
                </c:pt>
                <c:pt idx="28">
                  <c:v>409.0523173910359</c:v>
                </c:pt>
                <c:pt idx="29">
                  <c:v>420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CE-48A1-BE42-596836846EA6}"/>
            </c:ext>
          </c:extLst>
        </c:ser>
        <c:ser>
          <c:idx val="1"/>
          <c:order val="1"/>
          <c:tx>
            <c:strRef>
              <c:f>'TRUCK inputs - 6 voc'!$AE$4:$AE$5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voc'!$AE$6:$AE$35</c:f>
              <c:numCache>
                <c:formatCode>"$"#,##0</c:formatCode>
                <c:ptCount val="30"/>
                <c:pt idx="0">
                  <c:v>9418</c:v>
                </c:pt>
                <c:pt idx="1">
                  <c:v>9013.9273235654528</c:v>
                </c:pt>
                <c:pt idx="2">
                  <c:v>8671.8220264089559</c:v>
                </c:pt>
                <c:pt idx="3">
                  <c:v>8190.1107125124308</c:v>
                </c:pt>
                <c:pt idx="4">
                  <c:v>7666.0296011375058</c:v>
                </c:pt>
                <c:pt idx="5">
                  <c:v>7234.116861986241</c:v>
                </c:pt>
                <c:pt idx="6">
                  <c:v>6643.5000000000146</c:v>
                </c:pt>
                <c:pt idx="7">
                  <c:v>5602.2610558445103</c:v>
                </c:pt>
                <c:pt idx="8">
                  <c:v>4884.256310759567</c:v>
                </c:pt>
                <c:pt idx="9">
                  <c:v>4286.2826434706076</c:v>
                </c:pt>
                <c:pt idx="10">
                  <c:v>3949.40296864739</c:v>
                </c:pt>
                <c:pt idx="11">
                  <c:v>3799.9002230163992</c:v>
                </c:pt>
                <c:pt idx="12">
                  <c:v>3740.6394062012923</c:v>
                </c:pt>
                <c:pt idx="13">
                  <c:v>3718.2122986834261</c:v>
                </c:pt>
                <c:pt idx="14">
                  <c:v>3705</c:v>
                </c:pt>
                <c:pt idx="15">
                  <c:v>3622.5853908969948</c:v>
                </c:pt>
                <c:pt idx="16">
                  <c:v>3571.3714638679116</c:v>
                </c:pt>
                <c:pt idx="17">
                  <c:v>3490.5392556316783</c:v>
                </c:pt>
                <c:pt idx="18">
                  <c:v>3366.2573642225589</c:v>
                </c:pt>
                <c:pt idx="19">
                  <c:v>3182.6602303034142</c:v>
                </c:pt>
                <c:pt idx="20">
                  <c:v>2926.8550833047216</c:v>
                </c:pt>
                <c:pt idx="21">
                  <c:v>2598.0516953147271</c:v>
                </c:pt>
                <c:pt idx="22">
                  <c:v>2216.5897604616794</c:v>
                </c:pt>
                <c:pt idx="23">
                  <c:v>1823.2835451458345</c:v>
                </c:pt>
                <c:pt idx="24">
                  <c:v>1464.1325366174942</c:v>
                </c:pt>
                <c:pt idx="25">
                  <c:v>1170.7569806767056</c:v>
                </c:pt>
                <c:pt idx="26">
                  <c:v>952.16146262811071</c:v>
                </c:pt>
                <c:pt idx="27">
                  <c:v>800.18946789729125</c:v>
                </c:pt>
                <c:pt idx="28">
                  <c:v>699.55557211444511</c:v>
                </c:pt>
                <c:pt idx="29">
                  <c:v>530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CCE-48A1-BE42-59683684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- 6 voc'!$AF$4:$AF$5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- 6 voc'!$AF$6:$AF$35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136424</c:v>
                      </c:pt>
                      <c:pt idx="1">
                        <c:v>128700.59753456876</c:v>
                      </c:pt>
                      <c:pt idx="2">
                        <c:v>122161.63301261718</c:v>
                      </c:pt>
                      <c:pt idx="3">
                        <c:v>112954.25382973607</c:v>
                      </c:pt>
                      <c:pt idx="4">
                        <c:v>102937.02281229888</c:v>
                      </c:pt>
                      <c:pt idx="5">
                        <c:v>94681.488328139269</c:v>
                      </c:pt>
                      <c:pt idx="6">
                        <c:v>83392.500000000015</c:v>
                      </c:pt>
                      <c:pt idx="7">
                        <c:v>69945.688336809602</c:v>
                      </c:pt>
                      <c:pt idx="8">
                        <c:v>60673.201330222597</c:v>
                      </c:pt>
                      <c:pt idx="9">
                        <c:v>52950.824705034647</c:v>
                      </c:pt>
                      <c:pt idx="10">
                        <c:v>48600.279072899575</c:v>
                      </c:pt>
                      <c:pt idx="11">
                        <c:v>46669.564442109157</c:v>
                      </c:pt>
                      <c:pt idx="12">
                        <c:v>45904.255915000736</c:v>
                      </c:pt>
                      <c:pt idx="13">
                        <c:v>45614.626822048012</c:v>
                      </c:pt>
                      <c:pt idx="14">
                        <c:v>45444</c:v>
                      </c:pt>
                      <c:pt idx="15">
                        <c:v>44421.903102979544</c:v>
                      </c:pt>
                      <c:pt idx="16">
                        <c:v>43786.753625594596</c:v>
                      </c:pt>
                      <c:pt idx="17">
                        <c:v>42784.281489685964</c:v>
                      </c:pt>
                      <c:pt idx="18">
                        <c:v>41242.951172796049</c:v>
                      </c:pt>
                      <c:pt idx="19">
                        <c:v>38965.999756984944</c:v>
                      </c:pt>
                      <c:pt idx="20">
                        <c:v>35793.532522899732</c:v>
                      </c:pt>
                      <c:pt idx="21">
                        <c:v>31715.749151090582</c:v>
                      </c:pt>
                      <c:pt idx="22">
                        <c:v>26984.900285965043</c:v>
                      </c:pt>
                      <c:pt idx="23">
                        <c:v>22107.159960208599</c:v>
                      </c:pt>
                      <c:pt idx="24">
                        <c:v>17653.008743889866</c:v>
                      </c:pt>
                      <c:pt idx="25">
                        <c:v>14014.597439724686</c:v>
                      </c:pt>
                      <c:pt idx="26">
                        <c:v>11303.599922029753</c:v>
                      </c:pt>
                      <c:pt idx="27">
                        <c:v>9418.8599961964428</c:v>
                      </c:pt>
                      <c:pt idx="28">
                        <c:v>8170.8095141978702</c:v>
                      </c:pt>
                      <c:pt idx="29">
                        <c:v>6068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CCE-48A1-BE42-596836846EA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voc'!$AG$4:$AG$5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voc'!$AG$6:$AG$35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65531</c:v>
                      </c:pt>
                      <c:pt idx="1">
                        <c:v>62337.813671953212</c:v>
                      </c:pt>
                      <c:pt idx="2">
                        <c:v>59634.324865752191</c:v>
                      </c:pt>
                      <c:pt idx="3">
                        <c:v>55827.598820396874</c:v>
                      </c:pt>
                      <c:pt idx="4">
                        <c:v>51686.045240490246</c:v>
                      </c:pt>
                      <c:pt idx="5">
                        <c:v>48272.852678853502</c:v>
                      </c:pt>
                      <c:pt idx="6">
                        <c:v>43605.500000000015</c:v>
                      </c:pt>
                      <c:pt idx="7">
                        <c:v>40994.872836118542</c:v>
                      </c:pt>
                      <c:pt idx="8">
                        <c:v>39194.668664121513</c:v>
                      </c:pt>
                      <c:pt idx="9">
                        <c:v>37695.410201044644</c:v>
                      </c:pt>
                      <c:pt idx="10">
                        <c:v>36850.77484141897</c:v>
                      </c:pt>
                      <c:pt idx="11">
                        <c:v>36475.936836165827</c:v>
                      </c:pt>
                      <c:pt idx="12">
                        <c:v>36327.356244746639</c:v>
                      </c:pt>
                      <c:pt idx="13">
                        <c:v>36271.126292513218</c:v>
                      </c:pt>
                      <c:pt idx="14">
                        <c:v>36238</c:v>
                      </c:pt>
                      <c:pt idx="15">
                        <c:v>35638.462920802493</c:v>
                      </c:pt>
                      <c:pt idx="16">
                        <c:v>35265.899748332951</c:v>
                      </c:pt>
                      <c:pt idx="17">
                        <c:v>34677.87407474799</c:v>
                      </c:pt>
                      <c:pt idx="18">
                        <c:v>33773.767351637296</c:v>
                      </c:pt>
                      <c:pt idx="19">
                        <c:v>32438.163256478085</c:v>
                      </c:pt>
                      <c:pt idx="20">
                        <c:v>30577.271451681627</c:v>
                      </c:pt>
                      <c:pt idx="21">
                        <c:v>28185.343309191874</c:v>
                      </c:pt>
                      <c:pt idx="22">
                        <c:v>25410.342896813665</c:v>
                      </c:pt>
                      <c:pt idx="23">
                        <c:v>22549.179540860874</c:v>
                      </c:pt>
                      <c:pt idx="24">
                        <c:v>19936.483212048581</c:v>
                      </c:pt>
                      <c:pt idx="25">
                        <c:v>17802.279994547989</c:v>
                      </c:pt>
                      <c:pt idx="26">
                        <c:v>16212.075055849273</c:v>
                      </c:pt>
                      <c:pt idx="27">
                        <c:v>15106.532642527152</c:v>
                      </c:pt>
                      <c:pt idx="28">
                        <c:v>14374.456708386544</c:v>
                      </c:pt>
                      <c:pt idx="29">
                        <c:v>13141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CE-48A1-BE42-596836846EA6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Incremental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Class 4-6 Vocational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- 6 voc'!$V$4:$V$5</c:f>
              <c:strCache>
                <c:ptCount val="2"/>
                <c:pt idx="0">
                  <c:v>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voc'!$V$6:$V$35</c:f>
              <c:numCache>
                <c:formatCode>"$"#,##0</c:formatCode>
                <c:ptCount val="30"/>
                <c:pt idx="0">
                  <c:v>72485</c:v>
                </c:pt>
                <c:pt idx="1">
                  <c:v>72670.833333333328</c:v>
                </c:pt>
                <c:pt idx="2">
                  <c:v>72856.666666666657</c:v>
                </c:pt>
                <c:pt idx="3">
                  <c:v>73042.499999999985</c:v>
                </c:pt>
                <c:pt idx="4">
                  <c:v>73228.333333333314</c:v>
                </c:pt>
                <c:pt idx="5">
                  <c:v>73414.166666666642</c:v>
                </c:pt>
                <c:pt idx="6">
                  <c:v>73600</c:v>
                </c:pt>
                <c:pt idx="7">
                  <c:v>73626.875</c:v>
                </c:pt>
                <c:pt idx="8">
                  <c:v>73653.75</c:v>
                </c:pt>
                <c:pt idx="9">
                  <c:v>73680.625</c:v>
                </c:pt>
                <c:pt idx="10">
                  <c:v>73707.5</c:v>
                </c:pt>
                <c:pt idx="11">
                  <c:v>73734.375</c:v>
                </c:pt>
                <c:pt idx="12">
                  <c:v>73761.25</c:v>
                </c:pt>
                <c:pt idx="13">
                  <c:v>73788.125</c:v>
                </c:pt>
                <c:pt idx="14">
                  <c:v>73815</c:v>
                </c:pt>
                <c:pt idx="15">
                  <c:v>73828.666666666672</c:v>
                </c:pt>
                <c:pt idx="16">
                  <c:v>73842.333333333343</c:v>
                </c:pt>
                <c:pt idx="17">
                  <c:v>73856.000000000015</c:v>
                </c:pt>
                <c:pt idx="18">
                  <c:v>73869.666666666686</c:v>
                </c:pt>
                <c:pt idx="19">
                  <c:v>73883.333333333358</c:v>
                </c:pt>
                <c:pt idx="20">
                  <c:v>73897.000000000029</c:v>
                </c:pt>
                <c:pt idx="21">
                  <c:v>73910.666666666701</c:v>
                </c:pt>
                <c:pt idx="22">
                  <c:v>73924.333333333372</c:v>
                </c:pt>
                <c:pt idx="23">
                  <c:v>73938.000000000044</c:v>
                </c:pt>
                <c:pt idx="24">
                  <c:v>73951.666666666715</c:v>
                </c:pt>
                <c:pt idx="25">
                  <c:v>73965.333333333387</c:v>
                </c:pt>
                <c:pt idx="26">
                  <c:v>73979.000000000058</c:v>
                </c:pt>
                <c:pt idx="27">
                  <c:v>73992.66666666673</c:v>
                </c:pt>
                <c:pt idx="28">
                  <c:v>74006.333333333401</c:v>
                </c:pt>
                <c:pt idx="29">
                  <c:v>74020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FC-483C-8F60-8D4534308031}"/>
            </c:ext>
          </c:extLst>
        </c:ser>
        <c:ser>
          <c:idx val="1"/>
          <c:order val="1"/>
          <c:tx>
            <c:strRef>
              <c:f>'TRUCK inputs - 6 voc'!$W$4:$W$5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voc'!$W$6:$W$35</c:f>
              <c:numCache>
                <c:formatCode>"$"#,##0</c:formatCode>
                <c:ptCount val="30"/>
                <c:pt idx="0">
                  <c:v>81903</c:v>
                </c:pt>
                <c:pt idx="1">
                  <c:v>81533.5</c:v>
                </c:pt>
                <c:pt idx="2">
                  <c:v>81164</c:v>
                </c:pt>
                <c:pt idx="3">
                  <c:v>80794.5</c:v>
                </c:pt>
                <c:pt idx="4">
                  <c:v>80425</c:v>
                </c:pt>
                <c:pt idx="5">
                  <c:v>80055.5</c:v>
                </c:pt>
                <c:pt idx="6">
                  <c:v>79686</c:v>
                </c:pt>
                <c:pt idx="7">
                  <c:v>79388.375</c:v>
                </c:pt>
                <c:pt idx="8">
                  <c:v>79090.75</c:v>
                </c:pt>
                <c:pt idx="9">
                  <c:v>78793.125</c:v>
                </c:pt>
                <c:pt idx="10">
                  <c:v>78495.5</c:v>
                </c:pt>
                <c:pt idx="11">
                  <c:v>78197.875</c:v>
                </c:pt>
                <c:pt idx="12">
                  <c:v>77900.25</c:v>
                </c:pt>
                <c:pt idx="13">
                  <c:v>77602.625</c:v>
                </c:pt>
                <c:pt idx="14">
                  <c:v>77305</c:v>
                </c:pt>
                <c:pt idx="15">
                  <c:v>77093.333333333328</c:v>
                </c:pt>
                <c:pt idx="16">
                  <c:v>76881.666666666657</c:v>
                </c:pt>
                <c:pt idx="17">
                  <c:v>76669.999999999985</c:v>
                </c:pt>
                <c:pt idx="18">
                  <c:v>76458.333333333314</c:v>
                </c:pt>
                <c:pt idx="19">
                  <c:v>76246.666666666642</c:v>
                </c:pt>
                <c:pt idx="20">
                  <c:v>76034.999999999971</c:v>
                </c:pt>
                <c:pt idx="21">
                  <c:v>75823.333333333299</c:v>
                </c:pt>
                <c:pt idx="22">
                  <c:v>75611.666666666628</c:v>
                </c:pt>
                <c:pt idx="23">
                  <c:v>75399.999999999956</c:v>
                </c:pt>
                <c:pt idx="24">
                  <c:v>75188.333333333285</c:v>
                </c:pt>
                <c:pt idx="25">
                  <c:v>74976.666666666613</c:v>
                </c:pt>
                <c:pt idx="26">
                  <c:v>74764.999999999942</c:v>
                </c:pt>
                <c:pt idx="27">
                  <c:v>74553.33333333327</c:v>
                </c:pt>
                <c:pt idx="28">
                  <c:v>74341.666666666599</c:v>
                </c:pt>
                <c:pt idx="29">
                  <c:v>74130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1FC-483C-8F60-8D4534308031}"/>
            </c:ext>
          </c:extLst>
        </c:ser>
        <c:ser>
          <c:idx val="4"/>
          <c:order val="4"/>
          <c:tx>
            <c:strRef>
              <c:f>'TRUCK inputs - 6 voc'!$AC$5</c:f>
              <c:strCache>
                <c:ptCount val="1"/>
                <c:pt idx="0">
                  <c:v>Baseline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'TRUCK inputs - 6 voc'!$U$6:$U$35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voc'!$AC$6:$AC$35</c:f>
              <c:numCache>
                <c:formatCode>"$"#,##0</c:formatCode>
                <c:ptCount val="30"/>
                <c:pt idx="0">
                  <c:v>72485</c:v>
                </c:pt>
                <c:pt idx="1">
                  <c:v>72545.271035851692</c:v>
                </c:pt>
                <c:pt idx="2">
                  <c:v>72623.204213946534</c:v>
                </c:pt>
                <c:pt idx="3">
                  <c:v>72717.506607341507</c:v>
                </c:pt>
                <c:pt idx="4">
                  <c:v>72824.17464030438</c:v>
                </c:pt>
                <c:pt idx="5">
                  <c:v>72929.100125884273</c:v>
                </c:pt>
                <c:pt idx="6">
                  <c:v>73042.499999999985</c:v>
                </c:pt>
                <c:pt idx="7">
                  <c:v>73130.291515655073</c:v>
                </c:pt>
                <c:pt idx="8">
                  <c:v>73282.627177523478</c:v>
                </c:pt>
                <c:pt idx="9">
                  <c:v>73420.279108237562</c:v>
                </c:pt>
                <c:pt idx="10">
                  <c:v>73546.620234462345</c:v>
                </c:pt>
                <c:pt idx="11">
                  <c:v>73559.965175846766</c:v>
                </c:pt>
                <c:pt idx="12">
                  <c:v>73573.310117231173</c:v>
                </c:pt>
                <c:pt idx="13">
                  <c:v>73586.655058615594</c:v>
                </c:pt>
                <c:pt idx="14">
                  <c:v>73600</c:v>
                </c:pt>
                <c:pt idx="15">
                  <c:v>73600</c:v>
                </c:pt>
                <c:pt idx="16">
                  <c:v>73600</c:v>
                </c:pt>
                <c:pt idx="17">
                  <c:v>73600</c:v>
                </c:pt>
                <c:pt idx="18">
                  <c:v>73600</c:v>
                </c:pt>
                <c:pt idx="19">
                  <c:v>73600</c:v>
                </c:pt>
                <c:pt idx="20">
                  <c:v>73600</c:v>
                </c:pt>
                <c:pt idx="21">
                  <c:v>73600</c:v>
                </c:pt>
                <c:pt idx="22">
                  <c:v>73600</c:v>
                </c:pt>
                <c:pt idx="23">
                  <c:v>73600</c:v>
                </c:pt>
                <c:pt idx="24">
                  <c:v>73600</c:v>
                </c:pt>
                <c:pt idx="25">
                  <c:v>73600</c:v>
                </c:pt>
                <c:pt idx="26">
                  <c:v>73600</c:v>
                </c:pt>
                <c:pt idx="27">
                  <c:v>73600</c:v>
                </c:pt>
                <c:pt idx="28">
                  <c:v>73600</c:v>
                </c:pt>
                <c:pt idx="29">
                  <c:v>73600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FC-483C-8F60-8D4534308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'TRUCK inputs - 6 voc'!$X$4:$X$5</c15:sqref>
                        </c15:formulaRef>
                      </c:ext>
                    </c:extLst>
                    <c:strCache>
                      <c:ptCount val="2"/>
                      <c:pt idx="0">
                        <c:v>BEV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'TRUCK inputs - 6 voc'!$X$6:$X$35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208909</c:v>
                      </c:pt>
                      <c:pt idx="1">
                        <c:v>200163.33333333334</c:v>
                      </c:pt>
                      <c:pt idx="2">
                        <c:v>191417.66666666669</c:v>
                      </c:pt>
                      <c:pt idx="3">
                        <c:v>182672.00000000003</c:v>
                      </c:pt>
                      <c:pt idx="4">
                        <c:v>173926.33333333337</c:v>
                      </c:pt>
                      <c:pt idx="5">
                        <c:v>165180.66666666672</c:v>
                      </c:pt>
                      <c:pt idx="6">
                        <c:v>156435</c:v>
                      </c:pt>
                      <c:pt idx="7">
                        <c:v>151761.125</c:v>
                      </c:pt>
                      <c:pt idx="8">
                        <c:v>147087.25</c:v>
                      </c:pt>
                      <c:pt idx="9">
                        <c:v>142413.375</c:v>
                      </c:pt>
                      <c:pt idx="10">
                        <c:v>137739.5</c:v>
                      </c:pt>
                      <c:pt idx="11">
                        <c:v>133065.625</c:v>
                      </c:pt>
                      <c:pt idx="12">
                        <c:v>128391.75</c:v>
                      </c:pt>
                      <c:pt idx="13">
                        <c:v>123717.875</c:v>
                      </c:pt>
                      <c:pt idx="14">
                        <c:v>119044</c:v>
                      </c:pt>
                      <c:pt idx="15">
                        <c:v>116418.93333333333</c:v>
                      </c:pt>
                      <c:pt idx="16">
                        <c:v>113793.86666666667</c:v>
                      </c:pt>
                      <c:pt idx="17">
                        <c:v>111168.8</c:v>
                      </c:pt>
                      <c:pt idx="18">
                        <c:v>108543.73333333334</c:v>
                      </c:pt>
                      <c:pt idx="19">
                        <c:v>105918.66666666667</c:v>
                      </c:pt>
                      <c:pt idx="20">
                        <c:v>103293.6</c:v>
                      </c:pt>
                      <c:pt idx="21">
                        <c:v>100668.53333333334</c:v>
                      </c:pt>
                      <c:pt idx="22">
                        <c:v>98043.466666666674</c:v>
                      </c:pt>
                      <c:pt idx="23">
                        <c:v>95418.400000000009</c:v>
                      </c:pt>
                      <c:pt idx="24">
                        <c:v>92793.333333333343</c:v>
                      </c:pt>
                      <c:pt idx="25">
                        <c:v>90168.266666666677</c:v>
                      </c:pt>
                      <c:pt idx="26">
                        <c:v>87543.200000000012</c:v>
                      </c:pt>
                      <c:pt idx="27">
                        <c:v>84918.133333333346</c:v>
                      </c:pt>
                      <c:pt idx="28">
                        <c:v>82293.06666666668</c:v>
                      </c:pt>
                      <c:pt idx="29">
                        <c:v>79668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1FC-483C-8F60-8D45343080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voc'!$Y$4:$Y$5</c15:sqref>
                        </c15:formulaRef>
                      </c:ext>
                    </c:extLst>
                    <c:strCache>
                      <c:ptCount val="2"/>
                      <c:pt idx="0">
                        <c:v>FCEV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voc'!$A$6:$A$35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2021</c:v>
                      </c:pt>
                      <c:pt idx="1">
                        <c:v>2022</c:v>
                      </c:pt>
                      <c:pt idx="2">
                        <c:v>2023</c:v>
                      </c:pt>
                      <c:pt idx="3">
                        <c:v>2024</c:v>
                      </c:pt>
                      <c:pt idx="4">
                        <c:v>2025</c:v>
                      </c:pt>
                      <c:pt idx="5">
                        <c:v>2026</c:v>
                      </c:pt>
                      <c:pt idx="6">
                        <c:v>2027</c:v>
                      </c:pt>
                      <c:pt idx="7">
                        <c:v>2028</c:v>
                      </c:pt>
                      <c:pt idx="8">
                        <c:v>2029</c:v>
                      </c:pt>
                      <c:pt idx="9">
                        <c:v>2030</c:v>
                      </c:pt>
                      <c:pt idx="10">
                        <c:v>2031</c:v>
                      </c:pt>
                      <c:pt idx="11">
                        <c:v>2032</c:v>
                      </c:pt>
                      <c:pt idx="12">
                        <c:v>2033</c:v>
                      </c:pt>
                      <c:pt idx="13">
                        <c:v>2034</c:v>
                      </c:pt>
                      <c:pt idx="14">
                        <c:v>2035</c:v>
                      </c:pt>
                      <c:pt idx="15">
                        <c:v>2036</c:v>
                      </c:pt>
                      <c:pt idx="16">
                        <c:v>2037</c:v>
                      </c:pt>
                      <c:pt idx="17">
                        <c:v>2038</c:v>
                      </c:pt>
                      <c:pt idx="18">
                        <c:v>2039</c:v>
                      </c:pt>
                      <c:pt idx="19">
                        <c:v>2040</c:v>
                      </c:pt>
                      <c:pt idx="20">
                        <c:v>2041</c:v>
                      </c:pt>
                      <c:pt idx="21">
                        <c:v>2042</c:v>
                      </c:pt>
                      <c:pt idx="22">
                        <c:v>2043</c:v>
                      </c:pt>
                      <c:pt idx="23">
                        <c:v>2044</c:v>
                      </c:pt>
                      <c:pt idx="24">
                        <c:v>2045</c:v>
                      </c:pt>
                      <c:pt idx="25">
                        <c:v>2046</c:v>
                      </c:pt>
                      <c:pt idx="26">
                        <c:v>2047</c:v>
                      </c:pt>
                      <c:pt idx="27">
                        <c:v>2048</c:v>
                      </c:pt>
                      <c:pt idx="28">
                        <c:v>2049</c:v>
                      </c:pt>
                      <c:pt idx="29">
                        <c:v>2050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'TRUCK inputs - 6 voc'!$Y$6:$Y$35</c15:sqref>
                        </c15:formulaRef>
                      </c:ext>
                    </c:extLst>
                    <c:numCache>
                      <c:formatCode>"$"#,##0</c:formatCode>
                      <c:ptCount val="30"/>
                      <c:pt idx="0">
                        <c:v>138016</c:v>
                      </c:pt>
                      <c:pt idx="1">
                        <c:v>134454.66666666666</c:v>
                      </c:pt>
                      <c:pt idx="2">
                        <c:v>130893.33333333333</c:v>
                      </c:pt>
                      <c:pt idx="3">
                        <c:v>127332</c:v>
                      </c:pt>
                      <c:pt idx="4">
                        <c:v>123770.66666666667</c:v>
                      </c:pt>
                      <c:pt idx="5">
                        <c:v>120209.33333333334</c:v>
                      </c:pt>
                      <c:pt idx="6">
                        <c:v>116648</c:v>
                      </c:pt>
                      <c:pt idx="7">
                        <c:v>115796.75</c:v>
                      </c:pt>
                      <c:pt idx="8">
                        <c:v>114945.5</c:v>
                      </c:pt>
                      <c:pt idx="9">
                        <c:v>114094.25</c:v>
                      </c:pt>
                      <c:pt idx="10">
                        <c:v>113243</c:v>
                      </c:pt>
                      <c:pt idx="11">
                        <c:v>112391.75</c:v>
                      </c:pt>
                      <c:pt idx="12">
                        <c:v>111540.5</c:v>
                      </c:pt>
                      <c:pt idx="13">
                        <c:v>110689.25</c:v>
                      </c:pt>
                      <c:pt idx="14">
                        <c:v>109838</c:v>
                      </c:pt>
                      <c:pt idx="15">
                        <c:v>108298.2</c:v>
                      </c:pt>
                      <c:pt idx="16">
                        <c:v>106758.39999999999</c:v>
                      </c:pt>
                      <c:pt idx="17">
                        <c:v>105218.59999999999</c:v>
                      </c:pt>
                      <c:pt idx="18">
                        <c:v>103678.79999999999</c:v>
                      </c:pt>
                      <c:pt idx="19">
                        <c:v>102138.99999999999</c:v>
                      </c:pt>
                      <c:pt idx="20">
                        <c:v>100599.19999999998</c:v>
                      </c:pt>
                      <c:pt idx="21">
                        <c:v>99059.39999999998</c:v>
                      </c:pt>
                      <c:pt idx="22">
                        <c:v>97519.599999999977</c:v>
                      </c:pt>
                      <c:pt idx="23">
                        <c:v>95979.799999999974</c:v>
                      </c:pt>
                      <c:pt idx="24">
                        <c:v>94439.999999999971</c:v>
                      </c:pt>
                      <c:pt idx="25">
                        <c:v>92900.199999999968</c:v>
                      </c:pt>
                      <c:pt idx="26">
                        <c:v>91360.399999999965</c:v>
                      </c:pt>
                      <c:pt idx="27">
                        <c:v>89820.599999999962</c:v>
                      </c:pt>
                      <c:pt idx="28">
                        <c:v>88280.799999999959</c:v>
                      </c:pt>
                      <c:pt idx="29">
                        <c:v>86741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FC-483C-8F60-8D4534308031}"/>
                  </c:ext>
                </c:extLst>
              </c15:ser>
            </c15:filteredScatterSeries>
          </c:ext>
        </c:extLst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Estimated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</a:t>
            </a:r>
            <a:r>
              <a:rPr lang="en-US" baseline="0"/>
              <a:t>Class 4-6 Vocational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'TRUCK inputs - 6 voc'!$AJ$4:$AJ$5</c:f>
              <c:strCache>
                <c:ptCount val="2"/>
                <c:pt idx="0">
                  <c:v>Adv Conv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voc'!$AJ$6:$AJ$35</c:f>
              <c:numCache>
                <c:formatCode>"$"#,##0.000</c:formatCode>
                <c:ptCount val="30"/>
                <c:pt idx="0">
                  <c:v>0</c:v>
                </c:pt>
                <c:pt idx="1">
                  <c:v>0.19261207135800912</c:v>
                </c:pt>
                <c:pt idx="2">
                  <c:v>0.33228126877813086</c:v>
                </c:pt>
                <c:pt idx="3">
                  <c:v>0.4672454287180195</c:v>
                </c:pt>
                <c:pt idx="4">
                  <c:v>0.59653842349715802</c:v>
                </c:pt>
                <c:pt idx="5">
                  <c:v>0.73841079932153342</c:v>
                </c:pt>
                <c:pt idx="6">
                  <c:v>0.83987657850405772</c:v>
                </c:pt>
                <c:pt idx="7">
                  <c:v>0.5915680717842734</c:v>
                </c:pt>
                <c:pt idx="8">
                  <c:v>0.53472517973320244</c:v>
                </c:pt>
                <c:pt idx="9">
                  <c:v>0.48367841508175813</c:v>
                </c:pt>
                <c:pt idx="10">
                  <c:v>0.50301619686503496</c:v>
                </c:pt>
                <c:pt idx="11">
                  <c:v>0.4582496307649655</c:v>
                </c:pt>
                <c:pt idx="12">
                  <c:v>0.44993278340661347</c:v>
                </c:pt>
                <c:pt idx="13">
                  <c:v>0.45625007449712629</c:v>
                </c:pt>
                <c:pt idx="14">
                  <c:v>0.46675533208087744</c:v>
                </c:pt>
                <c:pt idx="15">
                  <c:v>0.44186116534755027</c:v>
                </c:pt>
                <c:pt idx="16">
                  <c:v>0.42837786118984644</c:v>
                </c:pt>
                <c:pt idx="17">
                  <c:v>0.40961708590988544</c:v>
                </c:pt>
                <c:pt idx="18">
                  <c:v>0.38558019369121932</c:v>
                </c:pt>
                <c:pt idx="19">
                  <c:v>0.35789047311595146</c:v>
                </c:pt>
                <c:pt idx="20">
                  <c:v>0.32974431461275971</c:v>
                </c:pt>
                <c:pt idx="21">
                  <c:v>0.30469815985090343</c:v>
                </c:pt>
                <c:pt idx="22">
                  <c:v>0.28507781702999058</c:v>
                </c:pt>
                <c:pt idx="23">
                  <c:v>0.27130427773991311</c:v>
                </c:pt>
                <c:pt idx="24">
                  <c:v>0.26240847642904713</c:v>
                </c:pt>
                <c:pt idx="25">
                  <c:v>0.25696375224239676</c:v>
                </c:pt>
                <c:pt idx="26">
                  <c:v>0.25372039482501096</c:v>
                </c:pt>
                <c:pt idx="27">
                  <c:v>0.2518041446258919</c:v>
                </c:pt>
                <c:pt idx="28">
                  <c:v>0.25066979488916491</c:v>
                </c:pt>
                <c:pt idx="29">
                  <c:v>0.2489761602421533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1-4F47-95A4-E4B2B589D2ED}"/>
            </c:ext>
          </c:extLst>
        </c:ser>
        <c:ser>
          <c:idx val="1"/>
          <c:order val="1"/>
          <c:tx>
            <c:strRef>
              <c:f>'TRUCK inputs - 6 voc'!$AK$4:$AK$5</c:f>
              <c:strCache>
                <c:ptCount val="2"/>
                <c:pt idx="0">
                  <c:v>HEV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voc'!$AK$6:$AK$35</c:f>
              <c:numCache>
                <c:formatCode>"$"#,##0.000</c:formatCode>
                <c:ptCount val="30"/>
                <c:pt idx="0">
                  <c:v>2.2749087417470895</c:v>
                </c:pt>
                <c:pt idx="1">
                  <c:v>2.1883477181230262</c:v>
                </c:pt>
                <c:pt idx="2">
                  <c:v>2.1548701711483251</c:v>
                </c:pt>
                <c:pt idx="3">
                  <c:v>2.0794746611061541</c:v>
                </c:pt>
                <c:pt idx="4">
                  <c:v>1.9969958723653933</c:v>
                </c:pt>
                <c:pt idx="5">
                  <c:v>1.944666552623515</c:v>
                </c:pt>
                <c:pt idx="6">
                  <c:v>1.8277294209391632</c:v>
                </c:pt>
                <c:pt idx="7">
                  <c:v>1.5031976583434787</c:v>
                </c:pt>
                <c:pt idx="8">
                  <c:v>1.3357920794397415</c:v>
                </c:pt>
                <c:pt idx="9">
                  <c:v>1.1954279202583815</c:v>
                </c:pt>
                <c:pt idx="10">
                  <c:v>1.1329022105357778</c:v>
                </c:pt>
                <c:pt idx="11">
                  <c:v>1.0870484587135241</c:v>
                </c:pt>
                <c:pt idx="12">
                  <c:v>1.0719864147576377</c:v>
                </c:pt>
                <c:pt idx="13">
                  <c:v>1.0693757326265152</c:v>
                </c:pt>
                <c:pt idx="14">
                  <c:v>1.069874616250682</c:v>
                </c:pt>
                <c:pt idx="15">
                  <c:v>1.0338437864161329</c:v>
                </c:pt>
                <c:pt idx="16">
                  <c:v>1.0119856108009326</c:v>
                </c:pt>
                <c:pt idx="17">
                  <c:v>0.97827226187277705</c:v>
                </c:pt>
                <c:pt idx="18">
                  <c:v>0.92819912414493122</c:v>
                </c:pt>
                <c:pt idx="19">
                  <c:v>0.85778752556891025</c:v>
                </c:pt>
                <c:pt idx="20">
                  <c:v>0.76589880341257977</c:v>
                </c:pt>
                <c:pt idx="21">
                  <c:v>0.65676877749092888</c:v>
                </c:pt>
                <c:pt idx="22">
                  <c:v>0.54052728419522567</c:v>
                </c:pt>
                <c:pt idx="23">
                  <c:v>0.43008867001994622</c:v>
                </c:pt>
                <c:pt idx="24">
                  <c:v>0.33603294412267604</c:v>
                </c:pt>
                <c:pt idx="25">
                  <c:v>0.26322550457124994</c:v>
                </c:pt>
                <c:pt idx="26">
                  <c:v>0.2110176253111096</c:v>
                </c:pt>
                <c:pt idx="27">
                  <c:v>0.17564782001584345</c:v>
                </c:pt>
                <c:pt idx="28">
                  <c:v>0.15261570334454636</c:v>
                </c:pt>
                <c:pt idx="29">
                  <c:v>0.11446887318551337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11-4F47-95A4-E4B2B589D2ED}"/>
            </c:ext>
          </c:extLst>
        </c:ser>
        <c:ser>
          <c:idx val="2"/>
          <c:order val="2"/>
          <c:tx>
            <c:strRef>
              <c:f>'TRUCK inputs - 6 voc'!$AL$4:$AL$5</c:f>
              <c:strCache>
                <c:ptCount val="2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voc'!$AL$6:$AL$35</c:f>
              <c:numCache>
                <c:formatCode>"$"#,##0.000</c:formatCode>
                <c:ptCount val="30"/>
                <c:pt idx="0">
                  <c:v>17.557016195881953</c:v>
                </c:pt>
                <c:pt idx="1">
                  <c:v>16.851161361806309</c:v>
                </c:pt>
                <c:pt idx="2">
                  <c:v>16.390973170819283</c:v>
                </c:pt>
                <c:pt idx="3">
                  <c:v>15.584036944255361</c:v>
                </c:pt>
                <c:pt idx="4">
                  <c:v>14.647992790460384</c:v>
                </c:pt>
                <c:pt idx="5">
                  <c:v>13.892842639099049</c:v>
                </c:pt>
                <c:pt idx="6">
                  <c:v>12.615314932943839</c:v>
                </c:pt>
                <c:pt idx="7">
                  <c:v>10.666427555110348</c:v>
                </c:pt>
                <c:pt idx="8">
                  <c:v>9.4876440354717424</c:v>
                </c:pt>
                <c:pt idx="9">
                  <c:v>8.4698055944778758</c:v>
                </c:pt>
                <c:pt idx="10">
                  <c:v>7.9501805659102116</c:v>
                </c:pt>
                <c:pt idx="11">
                  <c:v>7.6437180589576634</c:v>
                </c:pt>
                <c:pt idx="12">
                  <c:v>7.5342293730967818</c:v>
                </c:pt>
                <c:pt idx="13">
                  <c:v>7.5051380316037273</c:v>
                </c:pt>
                <c:pt idx="14">
                  <c:v>7.4961239985944115</c:v>
                </c:pt>
                <c:pt idx="15">
                  <c:v>7.3088330626104874</c:v>
                </c:pt>
                <c:pt idx="16">
                  <c:v>7.1930893242112042</c:v>
                </c:pt>
                <c:pt idx="17">
                  <c:v>7.0113807621911279</c:v>
                </c:pt>
                <c:pt idx="18">
                  <c:v>6.7342424360305007</c:v>
                </c:pt>
                <c:pt idx="19">
                  <c:v>6.3295609593545388</c:v>
                </c:pt>
                <c:pt idx="20">
                  <c:v>5.7744508986698753</c:v>
                </c:pt>
                <c:pt idx="21">
                  <c:v>5.0744800009993174</c:v>
                </c:pt>
                <c:pt idx="22">
                  <c:v>4.2793794115352881</c:v>
                </c:pt>
                <c:pt idx="23">
                  <c:v>3.4763578271997577</c:v>
                </c:pt>
                <c:pt idx="24">
                  <c:v>2.7561538409332758</c:v>
                </c:pt>
                <c:pt idx="25">
                  <c:v>2.1761197048122027</c:v>
                </c:pt>
                <c:pt idx="26">
                  <c:v>1.7483450470026736</c:v>
                </c:pt>
                <c:pt idx="27">
                  <c:v>1.4530214336837048</c:v>
                </c:pt>
                <c:pt idx="28">
                  <c:v>1.2583548431699387</c:v>
                </c:pt>
                <c:pt idx="29">
                  <c:v>0.93190951641723141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11-4F47-95A4-E4B2B589D2ED}"/>
            </c:ext>
          </c:extLst>
        </c:ser>
        <c:ser>
          <c:idx val="3"/>
          <c:order val="3"/>
          <c:tx>
            <c:strRef>
              <c:f>'TRUCK inputs - 6 voc'!$AM$4:$AM$5</c:f>
              <c:strCache>
                <c:ptCount val="2"/>
                <c:pt idx="0">
                  <c:v>FCEV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'TRUCK inputs - 6 voc'!$A$6:$A$35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xVal>
          <c:yVal>
            <c:numRef>
              <c:f>'TRUCK inputs - 6 voc'!$AM$6:$AM$35</c:f>
              <c:numCache>
                <c:formatCode>"$"#,##0.000</c:formatCode>
                <c:ptCount val="30"/>
                <c:pt idx="0">
                  <c:v>10.226105492055821</c:v>
                </c:pt>
                <c:pt idx="1">
                  <c:v>9.8686129934103377</c:v>
                </c:pt>
                <c:pt idx="2">
                  <c:v>9.6722080482477644</c:v>
                </c:pt>
                <c:pt idx="3">
                  <c:v>9.2970212045470841</c:v>
                </c:pt>
                <c:pt idx="4">
                  <c:v>8.8667165110324522</c:v>
                </c:pt>
                <c:pt idx="5">
                  <c:v>8.5411022498208897</c:v>
                </c:pt>
                <c:pt idx="6">
                  <c:v>7.9400940740774324</c:v>
                </c:pt>
                <c:pt idx="7">
                  <c:v>7.4857774612985803</c:v>
                </c:pt>
                <c:pt idx="8">
                  <c:v>7.3423388228135043</c:v>
                </c:pt>
                <c:pt idx="9">
                  <c:v>7.2290808798193655</c:v>
                </c:pt>
                <c:pt idx="10">
                  <c:v>7.2448609807089239</c:v>
                </c:pt>
                <c:pt idx="11">
                  <c:v>7.1751559396704874</c:v>
                </c:pt>
                <c:pt idx="12">
                  <c:v>7.1614413032982673</c:v>
                </c:pt>
                <c:pt idx="13">
                  <c:v>7.170542461367333</c:v>
                </c:pt>
                <c:pt idx="14">
                  <c:v>7.1853652295219614</c:v>
                </c:pt>
                <c:pt idx="15">
                  <c:v>7.0244416334656572</c:v>
                </c:pt>
                <c:pt idx="16">
                  <c:v>6.9258480883592997</c:v>
                </c:pt>
                <c:pt idx="17">
                  <c:v>6.7723371864976176</c:v>
                </c:pt>
                <c:pt idx="18">
                  <c:v>6.5410808510773908</c:v>
                </c:pt>
                <c:pt idx="19">
                  <c:v>6.2092669802836618</c:v>
                </c:pt>
                <c:pt idx="20">
                  <c:v>5.7645070532802736</c:v>
                </c:pt>
                <c:pt idx="21">
                  <c:v>5.2189710974815453</c:v>
                </c:pt>
                <c:pt idx="22">
                  <c:v>4.6172912701769464</c:v>
                </c:pt>
                <c:pt idx="23">
                  <c:v>4.0262822204235409</c:v>
                </c:pt>
                <c:pt idx="24">
                  <c:v>3.508460538406573</c:v>
                </c:pt>
                <c:pt idx="25">
                  <c:v>3.0987646252150878</c:v>
                </c:pt>
                <c:pt idx="26">
                  <c:v>2.8003769440109778</c:v>
                </c:pt>
                <c:pt idx="27">
                  <c:v>2.5960964982988379</c:v>
                </c:pt>
                <c:pt idx="28">
                  <c:v>2.4621673413801672</c:v>
                </c:pt>
                <c:pt idx="29">
                  <c:v>2.2388057505241381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1-4F47-95A4-E4B2B589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89208"/>
        <c:axId val="962395768"/>
      </c:scatterChart>
      <c:valAx>
        <c:axId val="962389208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95768"/>
        <c:crosses val="autoZero"/>
        <c:crossBetween val="midCat"/>
      </c:valAx>
      <c:valAx>
        <c:axId val="96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Cost/gal saved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389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Sheet1!$A$9:$A$25</c:f>
              <c:numCache>
                <c:formatCode>General</c:formatCode>
                <c:ptCount val="1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</c:numCache>
            </c:numRef>
          </c:xVal>
          <c:yVal>
            <c:numRef>
              <c:f>Sheet1!$B$9:$B$25</c:f>
              <c:numCache>
                <c:formatCode>General</c:formatCode>
                <c:ptCount val="17"/>
                <c:pt idx="0">
                  <c:v>0</c:v>
                </c:pt>
                <c:pt idx="1">
                  <c:v>2.4726231566347743E-3</c:v>
                </c:pt>
                <c:pt idx="2">
                  <c:v>6.6928509242848554E-3</c:v>
                </c:pt>
                <c:pt idx="3">
                  <c:v>1.7986209962091559E-2</c:v>
                </c:pt>
                <c:pt idx="4">
                  <c:v>4.7425873177566781E-2</c:v>
                </c:pt>
                <c:pt idx="5">
                  <c:v>0.11920292202211755</c:v>
                </c:pt>
                <c:pt idx="6">
                  <c:v>0.2689414213699951</c:v>
                </c:pt>
                <c:pt idx="7">
                  <c:v>0.5</c:v>
                </c:pt>
                <c:pt idx="8">
                  <c:v>0.7310585786300049</c:v>
                </c:pt>
                <c:pt idx="9">
                  <c:v>0.88079707797788231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0.99752737684336534</c:v>
                </c:pt>
                <c:pt idx="14">
                  <c:v>0.9990889488055994</c:v>
                </c:pt>
                <c:pt idx="15">
                  <c:v>0.99966464986953363</c:v>
                </c:pt>
                <c:pt idx="16">
                  <c:v>0.99987660542401369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B-4609-AA5E-7B16368C8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513816"/>
        <c:axId val="1283506928"/>
      </c:scatterChart>
      <c:valAx>
        <c:axId val="1283513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06928"/>
        <c:crosses val="autoZero"/>
        <c:crossBetween val="midCat"/>
      </c:valAx>
      <c:valAx>
        <c:axId val="12835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13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'Fuel Converter Efficiency'!$C$8</c:f>
              <c:strCache>
                <c:ptCount val="1"/>
                <c:pt idx="0">
                  <c:v>Diesel - HD ISM Scaled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'Fuel Converter Efficiency'!$D$6:$O$6</c:f>
              <c:numCache>
                <c:formatCode>0.00%</c:formatCode>
                <c:ptCount val="12"/>
                <c:pt idx="0" formatCode="0%">
                  <c:v>0</c:v>
                </c:pt>
                <c:pt idx="1">
                  <c:v>5.0000000000000001E-3</c:v>
                </c:pt>
                <c:pt idx="2">
                  <c:v>1.4999999999999999E-2</c:v>
                </c:pt>
                <c:pt idx="3" formatCode="0%">
                  <c:v>0.04</c:v>
                </c:pt>
                <c:pt idx="4" formatCode="0%">
                  <c:v>0.06</c:v>
                </c:pt>
                <c:pt idx="5" formatCode="0%">
                  <c:v>0.1</c:v>
                </c:pt>
                <c:pt idx="6" formatCode="0%">
                  <c:v>0.14000000000000001</c:v>
                </c:pt>
                <c:pt idx="7" formatCode="0%">
                  <c:v>0.2</c:v>
                </c:pt>
                <c:pt idx="8" formatCode="0%">
                  <c:v>0.4</c:v>
                </c:pt>
                <c:pt idx="9" formatCode="0%">
                  <c:v>0.6</c:v>
                </c:pt>
                <c:pt idx="10" formatCode="0%">
                  <c:v>0.8</c:v>
                </c:pt>
                <c:pt idx="11" formatCode="0%">
                  <c:v>1</c:v>
                </c:pt>
              </c:numCache>
            </c:numRef>
          </c:xVal>
          <c:yVal>
            <c:numRef>
              <c:f>'Fuel Converter Efficiency'!$D$8:$O$8</c:f>
              <c:numCache>
                <c:formatCode>0%</c:formatCode>
                <c:ptCount val="12"/>
                <c:pt idx="0">
                  <c:v>0.04</c:v>
                </c:pt>
                <c:pt idx="1">
                  <c:v>0.06</c:v>
                </c:pt>
                <c:pt idx="2">
                  <c:v>0.11</c:v>
                </c:pt>
                <c:pt idx="3">
                  <c:v>0.2</c:v>
                </c:pt>
                <c:pt idx="4">
                  <c:v>0.25</c:v>
                </c:pt>
                <c:pt idx="5">
                  <c:v>0.33</c:v>
                </c:pt>
                <c:pt idx="6">
                  <c:v>0.37</c:v>
                </c:pt>
                <c:pt idx="7">
                  <c:v>0.41</c:v>
                </c:pt>
                <c:pt idx="8">
                  <c:v>0.44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A0-4637-8F65-16EBC990B94F}"/>
            </c:ext>
          </c:extLst>
        </c:ser>
        <c:ser>
          <c:idx val="6"/>
          <c:order val="6"/>
          <c:tx>
            <c:strRef>
              <c:f>'Fuel Converter Efficiency'!$C$13</c:f>
              <c:strCache>
                <c:ptCount val="1"/>
                <c:pt idx="0">
                  <c:v>Diesel - HD ISM Scaled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'Fuel Converter Efficiency'!$D$6:$O$6</c:f>
              <c:numCache>
                <c:formatCode>0.00%</c:formatCode>
                <c:ptCount val="12"/>
                <c:pt idx="0" formatCode="0%">
                  <c:v>0</c:v>
                </c:pt>
                <c:pt idx="1">
                  <c:v>5.0000000000000001E-3</c:v>
                </c:pt>
                <c:pt idx="2">
                  <c:v>1.4999999999999999E-2</c:v>
                </c:pt>
                <c:pt idx="3" formatCode="0%">
                  <c:v>0.04</c:v>
                </c:pt>
                <c:pt idx="4" formatCode="0%">
                  <c:v>0.06</c:v>
                </c:pt>
                <c:pt idx="5" formatCode="0%">
                  <c:v>0.1</c:v>
                </c:pt>
                <c:pt idx="6" formatCode="0%">
                  <c:v>0.14000000000000001</c:v>
                </c:pt>
                <c:pt idx="7" formatCode="0%">
                  <c:v>0.2</c:v>
                </c:pt>
                <c:pt idx="8" formatCode="0%">
                  <c:v>0.4</c:v>
                </c:pt>
                <c:pt idx="9" formatCode="0%">
                  <c:v>0.6</c:v>
                </c:pt>
                <c:pt idx="10" formatCode="0%">
                  <c:v>0.8</c:v>
                </c:pt>
                <c:pt idx="11" formatCode="0%">
                  <c:v>1</c:v>
                </c:pt>
              </c:numCache>
            </c:numRef>
          </c:xVal>
          <c:yVal>
            <c:numRef>
              <c:f>'Fuel Converter Efficiency'!$D$13:$O$13</c:f>
              <c:numCache>
                <c:formatCode>0%</c:formatCode>
                <c:ptCount val="12"/>
                <c:pt idx="0">
                  <c:v>0.03</c:v>
                </c:pt>
                <c:pt idx="1">
                  <c:v>0.26934706111572598</c:v>
                </c:pt>
                <c:pt idx="2">
                  <c:v>0.34591596230106925</c:v>
                </c:pt>
                <c:pt idx="3">
                  <c:v>0.39164128429868061</c:v>
                </c:pt>
                <c:pt idx="4">
                  <c:v>0.40997360193190668</c:v>
                </c:pt>
                <c:pt idx="5">
                  <c:v>0.42603421293021349</c:v>
                </c:pt>
                <c:pt idx="6">
                  <c:v>0.43334061912410937</c:v>
                </c:pt>
                <c:pt idx="7">
                  <c:v>0.43899982499012513</c:v>
                </c:pt>
                <c:pt idx="8">
                  <c:v>0.44580628617786722</c:v>
                </c:pt>
                <c:pt idx="9">
                  <c:v>0.4481257301646141</c:v>
                </c:pt>
                <c:pt idx="10">
                  <c:v>0.44929518301229643</c:v>
                </c:pt>
                <c:pt idx="11">
                  <c:v>0.44999999999999996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A0-4637-8F65-16EBC990B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581736"/>
        <c:axId val="13805807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Converter Efficiency'!$C$7</c15:sqref>
                        </c15:formulaRef>
                      </c:ext>
                    </c:extLst>
                    <c:strCache>
                      <c:ptCount val="1"/>
                      <c:pt idx="0">
                        <c:v>SI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'Fuel Converter Efficiency'!$D$7:$O$7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0.12</c:v>
                      </c:pt>
                      <c:pt idx="2">
                        <c:v>0.16</c:v>
                      </c:pt>
                      <c:pt idx="3">
                        <c:v>0.22</c:v>
                      </c:pt>
                      <c:pt idx="4">
                        <c:v>0.28000000000000003</c:v>
                      </c:pt>
                      <c:pt idx="5">
                        <c:v>0.33</c:v>
                      </c:pt>
                      <c:pt idx="6">
                        <c:v>0.35</c:v>
                      </c:pt>
                      <c:pt idx="7">
                        <c:v>0.36</c:v>
                      </c:pt>
                      <c:pt idx="8">
                        <c:v>0.35</c:v>
                      </c:pt>
                      <c:pt idx="9">
                        <c:v>0.34</c:v>
                      </c:pt>
                      <c:pt idx="10">
                        <c:v>0.32</c:v>
                      </c:pt>
                      <c:pt idx="11">
                        <c:v>0.3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3CA0-4637-8F65-16EBC990B94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Efficiency'!$C$9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Efficiency'!$D$9:$O$9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0.14000000000000001</c:v>
                      </c:pt>
                      <c:pt idx="2">
                        <c:v>0.2</c:v>
                      </c:pt>
                      <c:pt idx="3">
                        <c:v>0.26</c:v>
                      </c:pt>
                      <c:pt idx="4">
                        <c:v>0.32</c:v>
                      </c:pt>
                      <c:pt idx="5">
                        <c:v>0.39</c:v>
                      </c:pt>
                      <c:pt idx="6">
                        <c:v>0.41</c:v>
                      </c:pt>
                      <c:pt idx="7">
                        <c:v>0.42</c:v>
                      </c:pt>
                      <c:pt idx="8">
                        <c:v>0.41</c:v>
                      </c:pt>
                      <c:pt idx="9">
                        <c:v>0.38</c:v>
                      </c:pt>
                      <c:pt idx="10">
                        <c:v>0.36</c:v>
                      </c:pt>
                      <c:pt idx="11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A0-4637-8F65-16EBC990B94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Efficiency'!$C$10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Efficiency'!$D$10:$O$10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0.25</c:v>
                      </c:pt>
                      <c:pt idx="2">
                        <c:v>0.33</c:v>
                      </c:pt>
                      <c:pt idx="3">
                        <c:v>0.42</c:v>
                      </c:pt>
                      <c:pt idx="4">
                        <c:v>0.52</c:v>
                      </c:pt>
                      <c:pt idx="5">
                        <c:v>0.56999999999999995</c:v>
                      </c:pt>
                      <c:pt idx="6">
                        <c:v>0.59</c:v>
                      </c:pt>
                      <c:pt idx="7">
                        <c:v>0.61</c:v>
                      </c:pt>
                      <c:pt idx="8">
                        <c:v>0.61</c:v>
                      </c:pt>
                      <c:pt idx="9">
                        <c:v>0.57999999999999996</c:v>
                      </c:pt>
                      <c:pt idx="10">
                        <c:v>0.56999999999999995</c:v>
                      </c:pt>
                      <c:pt idx="11">
                        <c:v>0.56000000000000005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A0-4637-8F65-16EBC990B94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Efficiency'!$C$11</c15:sqref>
                        </c15:formulaRef>
                      </c:ext>
                    </c:extLst>
                    <c:strCache>
                      <c:ptCount val="1"/>
                      <c:pt idx="0">
                        <c:v>Hybrid Diesel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Efficiency'!$D$11:$O$11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0.14000000000000001</c:v>
                      </c:pt>
                      <c:pt idx="2">
                        <c:v>0.2</c:v>
                      </c:pt>
                      <c:pt idx="3">
                        <c:v>0.26</c:v>
                      </c:pt>
                      <c:pt idx="4">
                        <c:v>0.32</c:v>
                      </c:pt>
                      <c:pt idx="5">
                        <c:v>0.39</c:v>
                      </c:pt>
                      <c:pt idx="6">
                        <c:v>0.41</c:v>
                      </c:pt>
                      <c:pt idx="7">
                        <c:v>0.42</c:v>
                      </c:pt>
                      <c:pt idx="8">
                        <c:v>0.41</c:v>
                      </c:pt>
                      <c:pt idx="9">
                        <c:v>0.38</c:v>
                      </c:pt>
                      <c:pt idx="10">
                        <c:v>0.36</c:v>
                      </c:pt>
                      <c:pt idx="11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A0-4637-8F65-16EBC990B94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Efficiency'!$C$12</c15:sqref>
                        </c15:formulaRef>
                      </c:ext>
                    </c:extLst>
                    <c:strCache>
                      <c:ptCount val="1"/>
                      <c:pt idx="0">
                        <c:v>Diesel - HD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Efficiency'!$D$12:$O$12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0.05</c:v>
                      </c:pt>
                      <c:pt idx="1">
                        <c:v>0.12</c:v>
                      </c:pt>
                      <c:pt idx="2">
                        <c:v>0.17</c:v>
                      </c:pt>
                      <c:pt idx="3">
                        <c:v>0.23</c:v>
                      </c:pt>
                      <c:pt idx="4">
                        <c:v>0.26</c:v>
                      </c:pt>
                      <c:pt idx="5">
                        <c:v>0.28999999999999998</c:v>
                      </c:pt>
                      <c:pt idx="6">
                        <c:v>0.32</c:v>
                      </c:pt>
                      <c:pt idx="7">
                        <c:v>0.35</c:v>
                      </c:pt>
                      <c:pt idx="8">
                        <c:v>0.38</c:v>
                      </c:pt>
                      <c:pt idx="9">
                        <c:v>0.4</c:v>
                      </c:pt>
                      <c:pt idx="10">
                        <c:v>0.41</c:v>
                      </c:pt>
                      <c:pt idx="11">
                        <c:v>0.42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A0-4637-8F65-16EBC990B94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Efficiency'!$C$14</c15:sqref>
                        </c15:formulaRef>
                      </c:ext>
                    </c:extLst>
                    <c:strCache>
                      <c:ptCount val="1"/>
                      <c:pt idx="0">
                        <c:v>Diesel - HD ISM Scaled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Efficiency'!$D$14:$O$14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0.12</c:v>
                      </c:pt>
                      <c:pt idx="3">
                        <c:v>0.23</c:v>
                      </c:pt>
                      <c:pt idx="4">
                        <c:v>0.28999999999999998</c:v>
                      </c:pt>
                      <c:pt idx="5">
                        <c:v>0.35</c:v>
                      </c:pt>
                      <c:pt idx="6">
                        <c:v>0.38</c:v>
                      </c:pt>
                      <c:pt idx="7">
                        <c:v>0.39</c:v>
                      </c:pt>
                      <c:pt idx="8">
                        <c:v>0.4</c:v>
                      </c:pt>
                      <c:pt idx="9">
                        <c:v>0.4</c:v>
                      </c:pt>
                      <c:pt idx="10">
                        <c:v>0.4</c:v>
                      </c:pt>
                      <c:pt idx="11">
                        <c:v>0.4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CA0-4637-8F65-16EBC990B94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Efficiency'!$C$15</c15:sqref>
                        </c15:formulaRef>
                      </c:ext>
                    </c:extLst>
                    <c:strCache>
                      <c:ptCount val="1"/>
                      <c:pt idx="0">
                        <c:v>CNG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Efficiency'!$D$6:$O$6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 formatCode="0%">
                        <c:v>0</c:v>
                      </c:pt>
                      <c:pt idx="1">
                        <c:v>5.0000000000000001E-3</c:v>
                      </c:pt>
                      <c:pt idx="2">
                        <c:v>1.4999999999999999E-2</c:v>
                      </c:pt>
                      <c:pt idx="3" formatCode="0%">
                        <c:v>0.04</c:v>
                      </c:pt>
                      <c:pt idx="4" formatCode="0%">
                        <c:v>0.06</c:v>
                      </c:pt>
                      <c:pt idx="5" formatCode="0%">
                        <c:v>0.1</c:v>
                      </c:pt>
                      <c:pt idx="6" formatCode="0%">
                        <c:v>0.14000000000000001</c:v>
                      </c:pt>
                      <c:pt idx="7" formatCode="0%">
                        <c:v>0.2</c:v>
                      </c:pt>
                      <c:pt idx="8" formatCode="0%">
                        <c:v>0.4</c:v>
                      </c:pt>
                      <c:pt idx="9" formatCode="0%">
                        <c:v>0.6</c:v>
                      </c:pt>
                      <c:pt idx="10" formatCode="0%">
                        <c:v>0.8</c:v>
                      </c:pt>
                      <c:pt idx="11" formatCode="0%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Converter Efficiency'!$D$15:$O$15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0.18</c:v>
                      </c:pt>
                      <c:pt idx="4">
                        <c:v>0.21</c:v>
                      </c:pt>
                      <c:pt idx="5">
                        <c:v>0.24</c:v>
                      </c:pt>
                      <c:pt idx="6">
                        <c:v>0.27</c:v>
                      </c:pt>
                      <c:pt idx="7">
                        <c:v>0.3</c:v>
                      </c:pt>
                      <c:pt idx="8">
                        <c:v>0.32500000000000001</c:v>
                      </c:pt>
                      <c:pt idx="9">
                        <c:v>0.33500000000000002</c:v>
                      </c:pt>
                      <c:pt idx="10">
                        <c:v>0.34</c:v>
                      </c:pt>
                      <c:pt idx="11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CA0-4637-8F65-16EBC990B94F}"/>
                  </c:ext>
                </c:extLst>
              </c15:ser>
            </c15:filteredScatterSeries>
          </c:ext>
        </c:extLst>
      </c:scatterChart>
      <c:valAx>
        <c:axId val="1380581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80752"/>
        <c:crosses val="autoZero"/>
        <c:crossBetween val="midCat"/>
      </c:valAx>
      <c:valAx>
        <c:axId val="1380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8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16</xdr:row>
      <xdr:rowOff>28575</xdr:rowOff>
    </xdr:from>
    <xdr:to>
      <xdr:col>8</xdr:col>
      <xdr:colOff>47625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12E9B-72B0-4E78-9A10-6C19588FF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16</xdr:row>
      <xdr:rowOff>38099</xdr:rowOff>
    </xdr:from>
    <xdr:to>
      <xdr:col>15</xdr:col>
      <xdr:colOff>419100</xdr:colOff>
      <xdr:row>33</xdr:row>
      <xdr:rowOff>28574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C236E0-DDA8-4505-9AF3-BA1845A19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123825</xdr:colOff>
      <xdr:row>13</xdr:row>
      <xdr:rowOff>123825</xdr:rowOff>
    </xdr:from>
    <xdr:to>
      <xdr:col>36</xdr:col>
      <xdr:colOff>428625</xdr:colOff>
      <xdr:row>30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376F5C-B32B-4D3F-A77F-CAA4851D1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180975</xdr:colOff>
      <xdr:row>13</xdr:row>
      <xdr:rowOff>123825</xdr:rowOff>
    </xdr:from>
    <xdr:to>
      <xdr:col>26</xdr:col>
      <xdr:colOff>485775</xdr:colOff>
      <xdr:row>30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236056-028B-4BDC-B303-B0454033D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238125</xdr:colOff>
      <xdr:row>37</xdr:row>
      <xdr:rowOff>76200</xdr:rowOff>
    </xdr:from>
    <xdr:to>
      <xdr:col>12</xdr:col>
      <xdr:colOff>542925</xdr:colOff>
      <xdr:row>54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036B24-1316-4253-A569-693233544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16</xdr:row>
      <xdr:rowOff>152400</xdr:rowOff>
    </xdr:from>
    <xdr:to>
      <xdr:col>9</xdr:col>
      <xdr:colOff>47625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A955E-BE2B-4B77-80BE-E29322E0F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15</xdr:row>
      <xdr:rowOff>161924</xdr:rowOff>
    </xdr:from>
    <xdr:to>
      <xdr:col>16</xdr:col>
      <xdr:colOff>438150</xdr:colOff>
      <xdr:row>32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5FB9E-E89E-45BE-B1FC-CA86410AB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219075</xdr:colOff>
      <xdr:row>17</xdr:row>
      <xdr:rowOff>47625</xdr:rowOff>
    </xdr:from>
    <xdr:to>
      <xdr:col>35</xdr:col>
      <xdr:colOff>523875</xdr:colOff>
      <xdr:row>34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75A77-67E2-4ED0-800E-7661B6FBA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180975</xdr:colOff>
      <xdr:row>13</xdr:row>
      <xdr:rowOff>123825</xdr:rowOff>
    </xdr:from>
    <xdr:to>
      <xdr:col>26</xdr:col>
      <xdr:colOff>485775</xdr:colOff>
      <xdr:row>30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ACAD54-175E-4B45-802B-CE971056E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</xdr:colOff>
      <xdr:row>35</xdr:row>
      <xdr:rowOff>66675</xdr:rowOff>
    </xdr:from>
    <xdr:to>
      <xdr:col>12</xdr:col>
      <xdr:colOff>381000</xdr:colOff>
      <xdr:row>52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F3E524-2AE9-4C8E-9E99-CE6700459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20</xdr:row>
      <xdr:rowOff>28575</xdr:rowOff>
    </xdr:from>
    <xdr:to>
      <xdr:col>8</xdr:col>
      <xdr:colOff>57150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CB4EA-891C-4A0C-BEF9-24C76E696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15</xdr:row>
      <xdr:rowOff>161924</xdr:rowOff>
    </xdr:from>
    <xdr:to>
      <xdr:col>16</xdr:col>
      <xdr:colOff>438150</xdr:colOff>
      <xdr:row>32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2A7553-AC60-4F91-BB07-96179209A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219075</xdr:colOff>
      <xdr:row>17</xdr:row>
      <xdr:rowOff>47625</xdr:rowOff>
    </xdr:from>
    <xdr:to>
      <xdr:col>35</xdr:col>
      <xdr:colOff>523875</xdr:colOff>
      <xdr:row>34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C871F9-AE06-42B4-A5AA-D994C9109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180975</xdr:colOff>
      <xdr:row>13</xdr:row>
      <xdr:rowOff>123825</xdr:rowOff>
    </xdr:from>
    <xdr:to>
      <xdr:col>26</xdr:col>
      <xdr:colOff>485775</xdr:colOff>
      <xdr:row>30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7F4B32-FBDE-4DD6-B047-08AC65055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</xdr:colOff>
      <xdr:row>35</xdr:row>
      <xdr:rowOff>66675</xdr:rowOff>
    </xdr:from>
    <xdr:to>
      <xdr:col>12</xdr:col>
      <xdr:colOff>381000</xdr:colOff>
      <xdr:row>52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75D004-ACDB-43A3-A6D2-7DD201BC6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17</xdr:row>
      <xdr:rowOff>133350</xdr:rowOff>
    </xdr:from>
    <xdr:to>
      <xdr:col>8</xdr:col>
      <xdr:colOff>428625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D0EF5-7839-4D3A-B5B8-375B931D0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381000</xdr:colOff>
      <xdr:row>14</xdr:row>
      <xdr:rowOff>19049</xdr:rowOff>
    </xdr:from>
    <xdr:to>
      <xdr:col>18</xdr:col>
      <xdr:colOff>76200</xdr:colOff>
      <xdr:row>31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FFFB3-2969-4262-9C6C-28091AEEB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228600</xdr:colOff>
      <xdr:row>17</xdr:row>
      <xdr:rowOff>104775</xdr:rowOff>
    </xdr:from>
    <xdr:to>
      <xdr:col>36</xdr:col>
      <xdr:colOff>533400</xdr:colOff>
      <xdr:row>34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AFF14-4BA1-4655-853C-7C289EF94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180975</xdr:colOff>
      <xdr:row>13</xdr:row>
      <xdr:rowOff>123825</xdr:rowOff>
    </xdr:from>
    <xdr:to>
      <xdr:col>26</xdr:col>
      <xdr:colOff>485775</xdr:colOff>
      <xdr:row>30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3D7BA9-9BF5-4231-A6DE-07FA2456A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</xdr:colOff>
      <xdr:row>35</xdr:row>
      <xdr:rowOff>66675</xdr:rowOff>
    </xdr:from>
    <xdr:to>
      <xdr:col>12</xdr:col>
      <xdr:colOff>381000</xdr:colOff>
      <xdr:row>52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C4B21-54E5-46AF-BBE6-C5540EB7F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6</xdr:row>
      <xdr:rowOff>133350</xdr:rowOff>
    </xdr:from>
    <xdr:to>
      <xdr:col>15</xdr:col>
      <xdr:colOff>152400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EF2B1-0658-4070-8C25-4DD2EFA10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1162050</xdr:colOff>
      <xdr:row>15</xdr:row>
      <xdr:rowOff>94623</xdr:rowOff>
    </xdr:from>
    <xdr:to>
      <xdr:col>11</xdr:col>
      <xdr:colOff>552450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3589A1-70D3-4332-8499-43D447B94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71123"/>
          <a:ext cx="7181850" cy="3753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119515</xdr:colOff>
      <xdr:row>15</xdr:row>
      <xdr:rowOff>95250</xdr:rowOff>
    </xdr:from>
    <xdr:to>
      <xdr:col>22</xdr:col>
      <xdr:colOff>581025</xdr:colOff>
      <xdr:row>34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94614D-5152-4E8B-8A3A-78596DB00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7215" y="2571750"/>
          <a:ext cx="691946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1295400</xdr:colOff>
      <xdr:row>36</xdr:row>
      <xdr:rowOff>15332</xdr:rowOff>
    </xdr:from>
    <xdr:to>
      <xdr:col>12</xdr:col>
      <xdr:colOff>228600</xdr:colOff>
      <xdr:row>46</xdr:row>
      <xdr:rowOff>323850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D02D8C-A5C8-4A2B-8375-05B79561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492332"/>
          <a:ext cx="7334250" cy="2213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571500</xdr:colOff>
      <xdr:row>36</xdr:row>
      <xdr:rowOff>129350</xdr:rowOff>
    </xdr:from>
    <xdr:to>
      <xdr:col>23</xdr:col>
      <xdr:colOff>219075</xdr:colOff>
      <xdr:row>59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517C91-CB67-4A63-8707-303A0CF0B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6606350"/>
          <a:ext cx="6715125" cy="462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180974</xdr:colOff>
      <xdr:row>34</xdr:row>
      <xdr:rowOff>171467</xdr:rowOff>
    </xdr:from>
    <xdr:to>
      <xdr:col>33</xdr:col>
      <xdr:colOff>95249</xdr:colOff>
      <xdr:row>50</xdr:row>
      <xdr:rowOff>155231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96059E-BAB0-4F34-95EF-5FA7BD495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6224" y="6648467"/>
          <a:ext cx="6010275" cy="3231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39947</xdr:colOff>
      <xdr:row>60</xdr:row>
      <xdr:rowOff>85724</xdr:rowOff>
    </xdr:from>
    <xdr:to>
      <xdr:col>20</xdr:col>
      <xdr:colOff>458454</xdr:colOff>
      <xdr:row>86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22DCC3-345A-4E3B-A657-3F98AF670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1397" y="11525249"/>
          <a:ext cx="6123982" cy="488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933450</xdr:colOff>
      <xdr:row>17</xdr:row>
      <xdr:rowOff>104775</xdr:rowOff>
    </xdr:from>
    <xdr:to>
      <xdr:col>10</xdr:col>
      <xdr:colOff>75212</xdr:colOff>
      <xdr:row>36</xdr:row>
      <xdr:rowOff>43815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C7FBA-EC22-417D-B93E-1F7BFBA0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3343275"/>
          <a:ext cx="5409212" cy="3177540"/>
        </a:xfrm>
        <a:prstGeom prst="rect">
          <a:avLst/>
        </a:prstGeom>
      </xdr:spPr>
    </xdr:pic>
    <xdr:clientData/>
  </xdr:twoCellAnchor>
  <xdr:twoCellAnchor editAs="oneCell">
    <xdr:from>
      <xdr:col>25</xdr:col>
      <xdr:colOff>257175</xdr:colOff>
      <xdr:row>32</xdr:row>
      <xdr:rowOff>114300</xdr:rowOff>
    </xdr:from>
    <xdr:to>
      <xdr:col>35</xdr:col>
      <xdr:colOff>603301</xdr:colOff>
      <xdr:row>47</xdr:row>
      <xdr:rowOff>56977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3D0D4-526D-4708-91C9-2E2B4A61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7100" y="5457825"/>
          <a:ext cx="6442126" cy="23715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16</xdr:row>
      <xdr:rowOff>179068</xdr:rowOff>
    </xdr:from>
    <xdr:to>
      <xdr:col>18</xdr:col>
      <xdr:colOff>563880</xdr:colOff>
      <xdr:row>36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E4F5F-F0D9-4A6B-85F0-9588C059D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rel.sharepoint.com/Main/Project%20Files/VTAP/2020%20Benefits/Legacy/Baseline/Adjusted%20Baseline%202020-08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ustment Summary"/>
      <sheetName val="Final Summary"/>
      <sheetName val="Class 7&amp;8 CU Diesel"/>
      <sheetName val="Class 7&amp;8 Sleeper Diesel"/>
      <sheetName val="Class 7&amp;8 Day Diesel"/>
      <sheetName val="Class 7&amp;8 SU Diesel"/>
      <sheetName val="Class 4-6 Diesel"/>
      <sheetName val="new mpg"/>
      <sheetName val="sleepers"/>
      <sheetName val="std calcs"/>
      <sheetName val="lists"/>
      <sheetName val="Low_CU"/>
      <sheetName val="High_CU"/>
      <sheetName val="Low_SU"/>
      <sheetName val="High_SU"/>
      <sheetName val="standar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8">
          <cell r="H28" t="str">
            <v>Class 7 day cab low roof</v>
          </cell>
          <cell r="J28">
            <v>1.4181705184263987E-2</v>
          </cell>
          <cell r="K28">
            <v>1.4181705184263989E-2</v>
          </cell>
          <cell r="L28">
            <v>1.4181705184263989E-2</v>
          </cell>
          <cell r="M28">
            <v>1.4181705184263989E-2</v>
          </cell>
        </row>
        <row r="29">
          <cell r="H29" t="str">
            <v>Class 7 day cab mid roof</v>
          </cell>
          <cell r="J29">
            <v>1.4181705184263987E-2</v>
          </cell>
          <cell r="K29">
            <v>1.4181705184263989E-2</v>
          </cell>
          <cell r="L29">
            <v>1.4181705184263989E-2</v>
          </cell>
          <cell r="M29">
            <v>1.4181705184263989E-2</v>
          </cell>
        </row>
        <row r="30">
          <cell r="H30" t="str">
            <v>Class 7 day cab high roof</v>
          </cell>
          <cell r="J30">
            <v>4.2545115552791959E-2</v>
          </cell>
          <cell r="K30">
            <v>4.2545115552791959E-2</v>
          </cell>
          <cell r="L30">
            <v>4.2545115552791959E-2</v>
          </cell>
          <cell r="M30">
            <v>4.2545115552791959E-2</v>
          </cell>
        </row>
        <row r="31">
          <cell r="H31" t="str">
            <v>Class 8 day cab low roof</v>
          </cell>
          <cell r="J31">
            <v>0.18581829481573603</v>
          </cell>
          <cell r="K31">
            <v>0.18581829481573603</v>
          </cell>
          <cell r="L31">
            <v>0.18581829481573603</v>
          </cell>
          <cell r="M31">
            <v>0.18581829481573603</v>
          </cell>
        </row>
        <row r="32">
          <cell r="H32" t="str">
            <v>Class 8 day cab mid roof</v>
          </cell>
          <cell r="J32">
            <v>0.18581829481573603</v>
          </cell>
          <cell r="K32">
            <v>0.18581829481573603</v>
          </cell>
          <cell r="L32">
            <v>0.18581829481573603</v>
          </cell>
          <cell r="M32">
            <v>0.18581829481573603</v>
          </cell>
        </row>
        <row r="33">
          <cell r="H33" t="str">
            <v>Class 8 day cab high roof</v>
          </cell>
          <cell r="J33">
            <v>0.55745488444720803</v>
          </cell>
          <cell r="K33">
            <v>0.55745488444720803</v>
          </cell>
          <cell r="L33">
            <v>0.55745488444720803</v>
          </cell>
          <cell r="M33">
            <v>0.55745488444720803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5AC7-89D2-4983-9827-651280D79A96}">
  <sheetPr codeName="Sheet4"/>
  <dimension ref="A1:AN105"/>
  <sheetViews>
    <sheetView zoomScaleNormal="100" workbookViewId="0">
      <selection activeCell="M71" sqref="M71"/>
    </sheetView>
  </sheetViews>
  <sheetFormatPr baseColWidth="10" defaultColWidth="9.1640625" defaultRowHeight="14" x14ac:dyDescent="0.2"/>
  <cols>
    <col min="1" max="8" width="9.1640625" style="22"/>
    <col min="9" max="9" width="9.1640625" style="257"/>
    <col min="10" max="27" width="9.1640625" style="22"/>
    <col min="28" max="28" width="9.1640625" style="191" customWidth="1"/>
    <col min="29" max="16384" width="9.1640625" style="22"/>
  </cols>
  <sheetData>
    <row r="1" spans="1:40" x14ac:dyDescent="0.2">
      <c r="C1" s="22" t="s">
        <v>113</v>
      </c>
      <c r="J1" s="22" t="s">
        <v>131</v>
      </c>
      <c r="K1" s="22" t="s">
        <v>133</v>
      </c>
      <c r="Q1" s="192" t="s">
        <v>137</v>
      </c>
      <c r="R1" s="193"/>
      <c r="V1" s="22" t="s">
        <v>136</v>
      </c>
      <c r="AC1" s="22" t="s">
        <v>218</v>
      </c>
    </row>
    <row r="2" spans="1:40" x14ac:dyDescent="0.2">
      <c r="C2" s="22" t="s">
        <v>114</v>
      </c>
      <c r="J2" s="22" t="s">
        <v>132</v>
      </c>
      <c r="Q2" s="192"/>
      <c r="R2" s="193"/>
      <c r="AC2" s="22">
        <f>'Class 8 Sleeper Cab'!D83</f>
        <v>151412</v>
      </c>
    </row>
    <row r="3" spans="1:40" x14ac:dyDescent="0.2">
      <c r="C3" s="177">
        <f>Constant!$D$18</f>
        <v>1.0024411160324416</v>
      </c>
      <c r="D3" s="177">
        <f>Constant!$D$18</f>
        <v>1.0024411160324416</v>
      </c>
      <c r="E3" s="177">
        <v>1</v>
      </c>
      <c r="F3" s="177">
        <f>Constant!$D$18</f>
        <v>1.0024411160324416</v>
      </c>
      <c r="G3" s="177"/>
      <c r="Q3" s="192"/>
      <c r="R3" s="193" t="s">
        <v>191</v>
      </c>
      <c r="AC3" s="194"/>
      <c r="AD3" s="22" t="s">
        <v>190</v>
      </c>
      <c r="AJ3" s="22" t="s">
        <v>222</v>
      </c>
    </row>
    <row r="4" spans="1:40" x14ac:dyDescent="0.2">
      <c r="B4" s="22" t="s">
        <v>135</v>
      </c>
      <c r="C4" s="22" t="s">
        <v>115</v>
      </c>
      <c r="D4" s="22" t="s">
        <v>86</v>
      </c>
      <c r="E4" s="22" t="s">
        <v>80</v>
      </c>
      <c r="F4" s="22" t="s">
        <v>116</v>
      </c>
      <c r="G4" s="377" t="s">
        <v>117</v>
      </c>
      <c r="H4" s="377"/>
      <c r="I4" s="258" t="s">
        <v>204</v>
      </c>
      <c r="J4" s="22" t="s">
        <v>49</v>
      </c>
      <c r="K4" s="22" t="s">
        <v>134</v>
      </c>
      <c r="L4" s="22" t="s">
        <v>86</v>
      </c>
      <c r="M4" s="22" t="s">
        <v>80</v>
      </c>
      <c r="N4" s="22" t="s">
        <v>116</v>
      </c>
      <c r="O4" s="377" t="s">
        <v>117</v>
      </c>
      <c r="P4" s="377"/>
      <c r="Q4" s="196" t="s">
        <v>80</v>
      </c>
      <c r="R4" s="197" t="s">
        <v>116</v>
      </c>
      <c r="S4" s="198" t="s">
        <v>117</v>
      </c>
      <c r="V4" s="22" t="s">
        <v>115</v>
      </c>
      <c r="W4" s="22" t="s">
        <v>86</v>
      </c>
      <c r="X4" s="22" t="s">
        <v>80</v>
      </c>
      <c r="Y4" s="22" t="s">
        <v>116</v>
      </c>
      <c r="Z4" s="377" t="s">
        <v>117</v>
      </c>
      <c r="AA4" s="377"/>
      <c r="AB4" s="195"/>
      <c r="AC4" s="22" t="s">
        <v>49</v>
      </c>
      <c r="AD4" s="22" t="s">
        <v>134</v>
      </c>
      <c r="AE4" s="22" t="s">
        <v>86</v>
      </c>
      <c r="AF4" s="22" t="s">
        <v>80</v>
      </c>
      <c r="AG4" s="22" t="s">
        <v>116</v>
      </c>
      <c r="AH4" s="199" t="s">
        <v>117</v>
      </c>
      <c r="AI4" s="199"/>
      <c r="AJ4" s="22" t="s">
        <v>134</v>
      </c>
      <c r="AK4" s="22" t="s">
        <v>86</v>
      </c>
      <c r="AL4" s="22" t="s">
        <v>80</v>
      </c>
      <c r="AM4" s="22" t="s">
        <v>116</v>
      </c>
      <c r="AN4" s="199" t="s">
        <v>117</v>
      </c>
    </row>
    <row r="5" spans="1:40" x14ac:dyDescent="0.2">
      <c r="C5" s="198"/>
      <c r="D5" s="198"/>
      <c r="E5" s="198"/>
      <c r="F5" s="198"/>
      <c r="G5" s="198" t="s">
        <v>118</v>
      </c>
      <c r="H5" s="198" t="s">
        <v>119</v>
      </c>
      <c r="I5" s="258" t="s">
        <v>205</v>
      </c>
      <c r="J5" s="195" t="s">
        <v>201</v>
      </c>
      <c r="K5" s="198"/>
      <c r="L5" s="198"/>
      <c r="M5" s="198"/>
      <c r="N5" s="198"/>
      <c r="O5" s="198" t="s">
        <v>118</v>
      </c>
      <c r="P5" s="198" t="s">
        <v>119</v>
      </c>
      <c r="Q5" s="196" t="s">
        <v>119</v>
      </c>
      <c r="R5" s="197"/>
      <c r="S5" s="198" t="s">
        <v>119</v>
      </c>
      <c r="V5" s="198"/>
      <c r="W5" s="198"/>
      <c r="X5" s="198"/>
      <c r="Y5" s="198"/>
      <c r="Z5" s="198"/>
      <c r="AA5" s="198"/>
      <c r="AB5" s="195"/>
      <c r="AC5" s="217" t="s">
        <v>131</v>
      </c>
      <c r="AD5" s="198"/>
      <c r="AE5" s="198"/>
      <c r="AF5" s="198"/>
      <c r="AG5" s="198"/>
      <c r="AH5" s="198"/>
      <c r="AI5" s="198"/>
    </row>
    <row r="6" spans="1:40" x14ac:dyDescent="0.2">
      <c r="A6" s="200">
        <v>2021</v>
      </c>
      <c r="B6" s="201">
        <f>Constant!U26</f>
        <v>7.0777995262828766</v>
      </c>
      <c r="C6" s="201">
        <f>C$3*'Class 8 Sleeper Cab'!$D78</f>
        <v>7.0893403823824892</v>
      </c>
      <c r="D6" s="201">
        <f>D$3*'Class 8 Sleeper Cab'!$N78</f>
        <v>7.5540767650920353</v>
      </c>
      <c r="E6" s="201">
        <f>E3*'Class 8 Sleeper Cab'!$I78</f>
        <v>14.664376718387347</v>
      </c>
      <c r="F6" s="201">
        <f>F$3*'Class 8 Sleeper Cab'!$S78</f>
        <v>9.4284625897794108</v>
      </c>
      <c r="G6" s="201"/>
      <c r="H6" s="201"/>
      <c r="I6" s="259">
        <f>Constant!U23</f>
        <v>7.0984299962274688</v>
      </c>
      <c r="J6" s="203">
        <v>6.4888939494054592</v>
      </c>
      <c r="K6" s="203">
        <f>C6/B6*J6</f>
        <v>6.4994745530291773</v>
      </c>
      <c r="L6" s="203">
        <f>$K6*D6/$C6</f>
        <v>6.9255427244480288</v>
      </c>
      <c r="M6" s="203">
        <f>$K6*E6/$C6</f>
        <v>13.444232915384625</v>
      </c>
      <c r="N6" s="203">
        <f>$K6*F6/$C6</f>
        <v>8.6439710002843295</v>
      </c>
      <c r="Q6" s="204">
        <f>'Class 8 Sleeper Cab'!I73</f>
        <v>476.94400953435968</v>
      </c>
      <c r="R6" s="205"/>
      <c r="S6" s="200"/>
      <c r="U6" s="200">
        <v>2021</v>
      </c>
      <c r="V6" s="206">
        <f>'Class 8 Sleeper Cab'!D$83</f>
        <v>151412</v>
      </c>
      <c r="W6" s="206">
        <f>'Class 8 Sleeper Cab'!$N$83</f>
        <v>161111</v>
      </c>
      <c r="X6" s="206">
        <f>'Class 8 Sleeper Cab'!$I$83</f>
        <v>892070</v>
      </c>
      <c r="Y6" s="206">
        <f>'Class 8 Sleeper Cab'!$S$83</f>
        <v>357520</v>
      </c>
      <c r="Z6" s="201"/>
      <c r="AA6" s="201"/>
      <c r="AB6" s="202"/>
      <c r="AC6" s="220">
        <f>AC2</f>
        <v>151412</v>
      </c>
      <c r="AD6" s="206">
        <f t="shared" ref="AD6" si="0">V6-$AC6</f>
        <v>0</v>
      </c>
      <c r="AE6" s="206">
        <f>W6-$AC6</f>
        <v>9699</v>
      </c>
      <c r="AF6" s="206">
        <f>X6-$AC6</f>
        <v>740658</v>
      </c>
      <c r="AG6" s="206">
        <f>Y6-$AC6</f>
        <v>206108</v>
      </c>
      <c r="AH6" s="200"/>
      <c r="AJ6" s="212">
        <f>AD6/(100000*(1/$J6-1/K6))</f>
        <v>0</v>
      </c>
      <c r="AK6" s="212">
        <f t="shared" ref="AK6:AK35" si="1">AE6/(100000*(1/$J6-1/L6))</f>
        <v>9.9820376221396394</v>
      </c>
      <c r="AL6" s="212">
        <f t="shared" ref="AL6:AL35" si="2">AF6/(100000*(1/$J6-1/M6))</f>
        <v>92.897948253563598</v>
      </c>
      <c r="AM6" s="212">
        <f t="shared" ref="AM6:AM35" si="3">AG6/(100000*(1/$J6-1/N6))</f>
        <v>53.643366422274404</v>
      </c>
      <c r="AN6" s="212"/>
    </row>
    <row r="7" spans="1:40" x14ac:dyDescent="0.2">
      <c r="A7" s="22">
        <v>2022</v>
      </c>
      <c r="B7" s="203">
        <f>B6</f>
        <v>7.0777995262828766</v>
      </c>
      <c r="C7" s="203">
        <f t="shared" ref="C7:F11" si="4">C$6+(C$12-C$6)/(1+EXP(-($A7-$A$6-($A$12-$A$6)*$C$42)/$C$39))</f>
        <v>7.3094319487204729</v>
      </c>
      <c r="D7" s="203">
        <f t="shared" si="4"/>
        <v>7.7998059589465711</v>
      </c>
      <c r="E7" s="203">
        <f t="shared" si="4"/>
        <v>14.952437034537702</v>
      </c>
      <c r="F7" s="203">
        <f t="shared" si="4"/>
        <v>9.6755742895996875</v>
      </c>
      <c r="G7" s="203"/>
      <c r="H7" s="203"/>
      <c r="I7" s="260">
        <f>I6</f>
        <v>7.0984299962274688</v>
      </c>
      <c r="J7" s="203">
        <v>6.618661358461285</v>
      </c>
      <c r="K7" s="203">
        <f t="shared" ref="K7:K35" si="5">K6*C7/C6</f>
        <v>6.7012534855663848</v>
      </c>
      <c r="L7" s="203">
        <f t="shared" ref="L7:L35" si="6">$K7*D7/$C7</f>
        <v>7.1508261156028468</v>
      </c>
      <c r="M7" s="203">
        <f t="shared" ref="M7:M35" si="7">$K7*E7/$C7</f>
        <v>13.708325284148495</v>
      </c>
      <c r="N7" s="203">
        <f t="shared" ref="N7:N35" si="8">$K7*F7/$C7</f>
        <v>8.8705218665297902</v>
      </c>
      <c r="Q7" s="208">
        <f>Q6+(Q$12-Q$6)/($A$12-$A$6)</f>
        <v>482.65361777609206</v>
      </c>
      <c r="R7" s="209"/>
      <c r="U7" s="22">
        <v>2022</v>
      </c>
      <c r="V7" s="186">
        <f>V6+(V$12-V$6)/($A$12-$A$6)</f>
        <v>153417.32998771474</v>
      </c>
      <c r="W7" s="186">
        <f>W6+(W$12-W$6)/($A$12-$A$6)</f>
        <v>162691.49665438139</v>
      </c>
      <c r="X7" s="186">
        <f>X6+(X$12-X$6)/($A$12-$A$6)</f>
        <v>846853.49665438139</v>
      </c>
      <c r="Y7" s="186">
        <f>Y6+(Y$12-Y$6)/($A$12-$A$6)</f>
        <v>343086.32998771471</v>
      </c>
      <c r="Z7" s="203"/>
      <c r="AA7" s="203"/>
      <c r="AB7" s="202"/>
      <c r="AC7" s="207">
        <f t="shared" ref="AC7:AG11" si="9">AC$6+(AC$12-AC$6)*(J7-J$6)/(J$12-J$6)</f>
        <v>152694.05291325031</v>
      </c>
      <c r="AD7" s="186">
        <f t="shared" si="9"/>
        <v>354.46018971253989</v>
      </c>
      <c r="AE7" s="186">
        <f t="shared" si="9"/>
        <v>9602.9014142927717</v>
      </c>
      <c r="AF7" s="186">
        <f t="shared" si="9"/>
        <v>690931.14657713624</v>
      </c>
      <c r="AG7" s="186">
        <f t="shared" si="9"/>
        <v>189028.0097170748</v>
      </c>
      <c r="AJ7" s="212">
        <f t="shared" ref="AJ7:AJ35" si="10">AD7/(100000*(1/$J7-1/K7))</f>
        <v>1.9035093816361652</v>
      </c>
      <c r="AK7" s="212">
        <f t="shared" si="1"/>
        <v>8.5404890302241512</v>
      </c>
      <c r="AL7" s="212">
        <f t="shared" si="2"/>
        <v>88.42268217657967</v>
      </c>
      <c r="AM7" s="212">
        <f t="shared" si="3"/>
        <v>49.283779862380527</v>
      </c>
    </row>
    <row r="8" spans="1:40" x14ac:dyDescent="0.2">
      <c r="A8" s="22">
        <v>2023</v>
      </c>
      <c r="B8" s="203">
        <f>B7</f>
        <v>7.0777995262828766</v>
      </c>
      <c r="C8" s="203">
        <f t="shared" si="4"/>
        <v>7.4836116645944726</v>
      </c>
      <c r="D8" s="203">
        <f t="shared" si="4"/>
        <v>7.9942752059044606</v>
      </c>
      <c r="E8" s="203">
        <f t="shared" si="4"/>
        <v>15.180406987482622</v>
      </c>
      <c r="F8" s="203">
        <f t="shared" si="4"/>
        <v>9.8711376470694585</v>
      </c>
      <c r="G8" s="203"/>
      <c r="H8" s="203"/>
      <c r="I8" s="260">
        <f>I7</f>
        <v>7.0984299962274688</v>
      </c>
      <c r="J8" s="203">
        <v>6.7394727631646916</v>
      </c>
      <c r="K8" s="203">
        <f t="shared" si="5"/>
        <v>6.8609406454311026</v>
      </c>
      <c r="L8" s="203">
        <f t="shared" si="6"/>
        <v>7.329114623951317</v>
      </c>
      <c r="M8" s="203">
        <f t="shared" si="7"/>
        <v>13.91732708517682</v>
      </c>
      <c r="N8" s="203">
        <f t="shared" si="8"/>
        <v>9.0498134503474308</v>
      </c>
      <c r="Q8" s="208">
        <f t="shared" ref="Q8:Q11" si="11">Q7+(Q$12-Q$6)/($A$12-$A$6)</f>
        <v>488.36322601782445</v>
      </c>
      <c r="R8" s="209"/>
      <c r="U8" s="22">
        <v>2023</v>
      </c>
      <c r="V8" s="186">
        <f t="shared" ref="V8:V11" si="12">V7+(V$12-V$6)/($A$12-$A$6)</f>
        <v>155422.65997542947</v>
      </c>
      <c r="W8" s="186">
        <f t="shared" ref="W8:Y11" si="13">W7+(W$12-W$6)/($A$12-$A$6)</f>
        <v>164271.99330876279</v>
      </c>
      <c r="X8" s="186">
        <f>X7+(X$12-X$6)/($A$12-$A$6)</f>
        <v>801636.99330876279</v>
      </c>
      <c r="Y8" s="186">
        <f t="shared" si="13"/>
        <v>328652.65997542941</v>
      </c>
      <c r="Z8" s="203"/>
      <c r="AA8" s="203"/>
      <c r="AB8" s="202"/>
      <c r="AC8" s="207">
        <f t="shared" si="9"/>
        <v>153887.62389136266</v>
      </c>
      <c r="AD8" s="186">
        <f t="shared" si="9"/>
        <v>634.97877640824061</v>
      </c>
      <c r="AE8" s="186">
        <f t="shared" si="9"/>
        <v>9526.849320916901</v>
      </c>
      <c r="AF8" s="186">
        <f t="shared" si="9"/>
        <v>651577.48416918295</v>
      </c>
      <c r="AG8" s="186">
        <f t="shared" si="9"/>
        <v>175510.96358891009</v>
      </c>
      <c r="AJ8" s="212">
        <f t="shared" si="10"/>
        <v>2.4171707737869932</v>
      </c>
      <c r="AK8" s="212">
        <f t="shared" si="1"/>
        <v>7.9806529388825025</v>
      </c>
      <c r="AL8" s="212">
        <f t="shared" si="2"/>
        <v>85.143830632481539</v>
      </c>
      <c r="AM8" s="212">
        <f t="shared" si="3"/>
        <v>46.3333576537526</v>
      </c>
    </row>
    <row r="9" spans="1:40" x14ac:dyDescent="0.2">
      <c r="A9" s="22">
        <v>2024</v>
      </c>
      <c r="B9" s="203">
        <f>Constant!V26</f>
        <v>7.5783520130869038</v>
      </c>
      <c r="C9" s="203">
        <f t="shared" si="4"/>
        <v>7.7119155414977971</v>
      </c>
      <c r="D9" s="203">
        <f t="shared" si="4"/>
        <v>8.2491733310746334</v>
      </c>
      <c r="E9" s="203">
        <f t="shared" si="4"/>
        <v>15.479215742644694</v>
      </c>
      <c r="F9" s="203">
        <f t="shared" si="4"/>
        <v>10.127469863863734</v>
      </c>
      <c r="G9" s="203"/>
      <c r="H9" s="203"/>
      <c r="I9" s="259">
        <f>Constant!V23</f>
        <v>7.5762095081338403</v>
      </c>
      <c r="J9" s="203">
        <v>6.8995357521942369</v>
      </c>
      <c r="K9" s="203">
        <f t="shared" si="5"/>
        <v>7.0702485864037987</v>
      </c>
      <c r="L9" s="203">
        <f t="shared" si="6"/>
        <v>7.5628040490317403</v>
      </c>
      <c r="M9" s="203">
        <f t="shared" si="7"/>
        <v>14.191273573234364</v>
      </c>
      <c r="N9" s="203">
        <f t="shared" si="8"/>
        <v>9.2848176440120707</v>
      </c>
      <c r="Q9" s="208">
        <f t="shared" si="11"/>
        <v>494.07283425955683</v>
      </c>
      <c r="R9" s="209"/>
      <c r="U9" s="22">
        <v>2024</v>
      </c>
      <c r="V9" s="186">
        <f t="shared" si="12"/>
        <v>157427.98996314421</v>
      </c>
      <c r="W9" s="186">
        <f t="shared" si="13"/>
        <v>165852.48996314418</v>
      </c>
      <c r="X9" s="186">
        <f>X8+(X$12-X$6)/($A$12-$A$6)</f>
        <v>756420.48996314418</v>
      </c>
      <c r="Y9" s="186">
        <f t="shared" si="13"/>
        <v>314218.98996314412</v>
      </c>
      <c r="Z9" s="203"/>
      <c r="AA9" s="203"/>
      <c r="AB9" s="202"/>
      <c r="AC9" s="207">
        <f t="shared" si="9"/>
        <v>155468.9856745867</v>
      </c>
      <c r="AD9" s="186">
        <f t="shared" si="9"/>
        <v>1002.6649938573407</v>
      </c>
      <c r="AE9" s="186">
        <f t="shared" si="9"/>
        <v>9427.1649938573391</v>
      </c>
      <c r="AF9" s="186">
        <f t="shared" si="9"/>
        <v>599995.16499385727</v>
      </c>
      <c r="AG9" s="186">
        <f t="shared" si="9"/>
        <v>157793.66499385721</v>
      </c>
      <c r="AJ9" s="212">
        <f t="shared" si="10"/>
        <v>2.8651293468527066</v>
      </c>
      <c r="AK9" s="212">
        <f t="shared" si="1"/>
        <v>7.4164246108610037</v>
      </c>
      <c r="AL9" s="212">
        <f t="shared" si="2"/>
        <v>80.567140047445307</v>
      </c>
      <c r="AM9" s="212">
        <f t="shared" si="3"/>
        <v>42.378257955352694</v>
      </c>
    </row>
    <row r="10" spans="1:40" x14ac:dyDescent="0.2">
      <c r="A10" s="22">
        <v>2025</v>
      </c>
      <c r="B10" s="203">
        <f>B9</f>
        <v>7.5783520130869038</v>
      </c>
      <c r="C10" s="203">
        <f t="shared" si="4"/>
        <v>7.9402194184011208</v>
      </c>
      <c r="D10" s="203">
        <f t="shared" si="4"/>
        <v>8.504071456244807</v>
      </c>
      <c r="E10" s="203">
        <f t="shared" si="4"/>
        <v>15.778024497806765</v>
      </c>
      <c r="F10" s="203">
        <f t="shared" si="4"/>
        <v>10.383802080658009</v>
      </c>
      <c r="G10" s="203"/>
      <c r="H10" s="203"/>
      <c r="I10" s="260">
        <f>I9</f>
        <v>7.5762095081338403</v>
      </c>
      <c r="J10" s="203">
        <v>7.0826454244148485</v>
      </c>
      <c r="K10" s="203">
        <f t="shared" si="5"/>
        <v>7.2795565273764931</v>
      </c>
      <c r="L10" s="203">
        <f t="shared" si="6"/>
        <v>7.7964934741121619</v>
      </c>
      <c r="M10" s="203">
        <f t="shared" si="7"/>
        <v>14.465220061291907</v>
      </c>
      <c r="N10" s="203">
        <f t="shared" si="8"/>
        <v>9.5198218376767052</v>
      </c>
      <c r="Q10" s="208">
        <f t="shared" si="11"/>
        <v>499.78244250128921</v>
      </c>
      <c r="R10" s="209"/>
      <c r="U10" s="22">
        <v>2025</v>
      </c>
      <c r="V10" s="186">
        <f t="shared" si="12"/>
        <v>159433.31995085895</v>
      </c>
      <c r="W10" s="186">
        <f t="shared" si="13"/>
        <v>167432.98661752557</v>
      </c>
      <c r="X10" s="186">
        <f>X9+(X$12-X$6)/($A$12-$A$6)</f>
        <v>711203.98661752557</v>
      </c>
      <c r="Y10" s="186">
        <f t="shared" si="13"/>
        <v>299785.31995085883</v>
      </c>
      <c r="Z10" s="203"/>
      <c r="AA10" s="203"/>
      <c r="AB10" s="202"/>
      <c r="AC10" s="207">
        <f t="shared" si="9"/>
        <v>157278.03996967364</v>
      </c>
      <c r="AD10" s="186">
        <f t="shared" si="9"/>
        <v>1370.3512113064376</v>
      </c>
      <c r="AE10" s="186">
        <f t="shared" si="9"/>
        <v>9327.4806667977791</v>
      </c>
      <c r="AF10" s="186">
        <f t="shared" si="9"/>
        <v>548412.8458185317</v>
      </c>
      <c r="AG10" s="186">
        <f t="shared" si="9"/>
        <v>140076.3663988047</v>
      </c>
      <c r="AJ10" s="212">
        <f t="shared" si="10"/>
        <v>3.5880799082604313</v>
      </c>
      <c r="AK10" s="212">
        <f t="shared" si="1"/>
        <v>7.2152835079970634</v>
      </c>
      <c r="AL10" s="212">
        <f t="shared" si="2"/>
        <v>76.106249077545414</v>
      </c>
      <c r="AM10" s="212">
        <f t="shared" si="3"/>
        <v>38.752722839983242</v>
      </c>
    </row>
    <row r="11" spans="1:40" x14ac:dyDescent="0.2">
      <c r="A11" s="22">
        <v>2026</v>
      </c>
      <c r="B11" s="203">
        <f>B10</f>
        <v>7.5783520130869038</v>
      </c>
      <c r="C11" s="203">
        <f t="shared" si="4"/>
        <v>8.1143991342751196</v>
      </c>
      <c r="D11" s="203">
        <f t="shared" si="4"/>
        <v>8.6985407032026973</v>
      </c>
      <c r="E11" s="203">
        <f t="shared" si="4"/>
        <v>16.005994450751682</v>
      </c>
      <c r="F11" s="203">
        <f t="shared" si="4"/>
        <v>10.57936543812778</v>
      </c>
      <c r="G11" s="203"/>
      <c r="H11" s="203"/>
      <c r="I11" s="260">
        <f>I10</f>
        <v>7.5762095081338403</v>
      </c>
      <c r="J11" s="203">
        <v>7.294435606504738</v>
      </c>
      <c r="K11" s="203">
        <f t="shared" si="5"/>
        <v>7.43924368724121</v>
      </c>
      <c r="L11" s="203">
        <f t="shared" si="6"/>
        <v>7.9747819824606321</v>
      </c>
      <c r="M11" s="203">
        <f t="shared" si="7"/>
        <v>14.674221862320229</v>
      </c>
      <c r="N11" s="203">
        <f t="shared" si="8"/>
        <v>9.6991134214943475</v>
      </c>
      <c r="Q11" s="208">
        <f t="shared" si="11"/>
        <v>505.49205074302159</v>
      </c>
      <c r="R11" s="209"/>
      <c r="U11" s="22">
        <v>2026</v>
      </c>
      <c r="V11" s="186">
        <f t="shared" si="12"/>
        <v>161438.64993857368</v>
      </c>
      <c r="W11" s="186">
        <f t="shared" si="13"/>
        <v>169013.48327190697</v>
      </c>
      <c r="X11" s="186">
        <f>X10+(X$12-X$6)/($A$12-$A$6)</f>
        <v>665987.48327190697</v>
      </c>
      <c r="Y11" s="186">
        <f t="shared" si="13"/>
        <v>285351.64993857354</v>
      </c>
      <c r="Z11" s="203"/>
      <c r="AA11" s="203"/>
      <c r="AB11" s="202"/>
      <c r="AC11" s="207">
        <f t="shared" si="9"/>
        <v>159370.44685304872</v>
      </c>
      <c r="AD11" s="186">
        <f t="shared" si="9"/>
        <v>1650.8697980021368</v>
      </c>
      <c r="AE11" s="186">
        <f t="shared" si="9"/>
        <v>9251.4285734219065</v>
      </c>
      <c r="AF11" s="186">
        <f t="shared" si="9"/>
        <v>509059.18341057911</v>
      </c>
      <c r="AG11" s="186">
        <f t="shared" si="9"/>
        <v>126559.32027063987</v>
      </c>
      <c r="AJ11" s="212">
        <f t="shared" si="10"/>
        <v>6.1864357201777906</v>
      </c>
      <c r="AK11" s="212">
        <f t="shared" si="1"/>
        <v>7.9102323104940178</v>
      </c>
      <c r="AL11" s="212">
        <f t="shared" si="2"/>
        <v>73.836528371484633</v>
      </c>
      <c r="AM11" s="212">
        <f t="shared" si="3"/>
        <v>37.235824072688743</v>
      </c>
    </row>
    <row r="12" spans="1:40" x14ac:dyDescent="0.2">
      <c r="A12" s="200">
        <v>2027</v>
      </c>
      <c r="B12" s="201">
        <f>Constant!W26</f>
        <v>8.3326465843773381</v>
      </c>
      <c r="C12" s="201">
        <f>C$3*'Class 8 Sleeper Cab'!$E78</f>
        <v>8.3344907006131042</v>
      </c>
      <c r="D12" s="201">
        <f>D$3*'Class 8 Sleeper Cab'!$O78</f>
        <v>8.9442698970572323</v>
      </c>
      <c r="E12" s="201">
        <f>E$3*'Class 8 Sleeper Cab'!$J78</f>
        <v>16.29405476690204</v>
      </c>
      <c r="F12" s="201">
        <f>F$3*'Class 8 Sleeper Cab'!$T78</f>
        <v>10.826477137948057</v>
      </c>
      <c r="G12" s="201"/>
      <c r="H12" s="201"/>
      <c r="I12" s="259">
        <f>Constant!W23</f>
        <v>8.2025293746111068</v>
      </c>
      <c r="J12" s="203">
        <v>7.5037759176853553</v>
      </c>
      <c r="K12" s="202">
        <f t="shared" si="5"/>
        <v>7.6410226197784183</v>
      </c>
      <c r="L12" s="203">
        <f t="shared" si="6"/>
        <v>8.2000653736154518</v>
      </c>
      <c r="M12" s="203">
        <f t="shared" si="7"/>
        <v>14.938314231084103</v>
      </c>
      <c r="N12" s="203">
        <f t="shared" si="8"/>
        <v>9.9256642877398082</v>
      </c>
      <c r="Q12" s="204">
        <f>'Class 8 Sleeper Cab'!J73</f>
        <v>511.20165898475403</v>
      </c>
      <c r="R12" s="205"/>
      <c r="S12" s="200"/>
      <c r="U12" s="200">
        <v>2027</v>
      </c>
      <c r="V12" s="206">
        <f>'Class 8 Sleeper Cab'!E$83</f>
        <v>163443.97992628836</v>
      </c>
      <c r="W12" s="206">
        <f>'Class 8 Sleeper Cab'!$O$83</f>
        <v>170593.97992628836</v>
      </c>
      <c r="X12" s="206">
        <f>'Class 8 Sleeper Cab'!$J$83</f>
        <v>620770.97992628836</v>
      </c>
      <c r="Y12" s="206">
        <f>'Class 8 Sleeper Cab'!$T$83</f>
        <v>270917.97992628836</v>
      </c>
      <c r="Z12" s="201"/>
      <c r="AA12" s="201"/>
      <c r="AB12" s="202"/>
      <c r="AC12" s="220">
        <f t="shared" ref="AC12:AC35" si="14">INDEX($V$6:$V$35,MATCH($J12,$K$6:$K$35,1))</f>
        <v>161438.64993857368</v>
      </c>
      <c r="AD12" s="206">
        <f t="shared" ref="AD12" si="15">V12-$AC12</f>
        <v>2005.3299877146783</v>
      </c>
      <c r="AE12" s="206">
        <f>W12-$AC12</f>
        <v>9155.3299877146783</v>
      </c>
      <c r="AF12" s="206">
        <f t="shared" ref="AF12" si="16">X12-$AC12</f>
        <v>459332.32998771465</v>
      </c>
      <c r="AG12" s="206">
        <f t="shared" ref="AG12" si="17">Y12-$AC12</f>
        <v>109479.32998771468</v>
      </c>
      <c r="AH12" s="200"/>
      <c r="AJ12" s="212">
        <f t="shared" si="10"/>
        <v>8.3775161255903665</v>
      </c>
      <c r="AK12" s="212">
        <f t="shared" si="1"/>
        <v>8.0906116374169983</v>
      </c>
      <c r="AL12" s="212">
        <f t="shared" si="2"/>
        <v>69.255530029699798</v>
      </c>
      <c r="AM12" s="212">
        <f t="shared" si="3"/>
        <v>33.668010013282391</v>
      </c>
    </row>
    <row r="13" spans="1:40" x14ac:dyDescent="0.2">
      <c r="A13" s="22">
        <v>2028</v>
      </c>
      <c r="B13" s="203">
        <f t="shared" ref="B13:B35" si="18">B12</f>
        <v>8.3326465843773381</v>
      </c>
      <c r="C13" s="203">
        <f t="shared" ref="C13:C19" si="19">C$12+(C$20-C$12)/(1+EXP(-($A13-$A$12-($A$20-$A$12)*$C$43)/$C$40))</f>
        <v>8.6511679920172693</v>
      </c>
      <c r="D13" s="203">
        <f t="shared" ref="D13:F19" si="20">D$12+(D$20-D$12)/(1+EXP(-($A13-$A$12-($A$20-$A$12)*$C$43)/$C$40))</f>
        <v>9.2950057803856154</v>
      </c>
      <c r="E13" s="203">
        <f t="shared" si="20"/>
        <v>16.743555778185829</v>
      </c>
      <c r="F13" s="203">
        <f t="shared" si="20"/>
        <v>11.068555198126779</v>
      </c>
      <c r="G13" s="203"/>
      <c r="H13" s="203"/>
      <c r="I13" s="260">
        <f t="shared" ref="I13:I35" si="21">I12</f>
        <v>8.2025293746111068</v>
      </c>
      <c r="J13" s="203">
        <v>7.6179189540571528</v>
      </c>
      <c r="K13" s="203">
        <f t="shared" si="5"/>
        <v>7.9313508994189945</v>
      </c>
      <c r="L13" s="203">
        <f t="shared" si="6"/>
        <v>8.5216184131890618</v>
      </c>
      <c r="M13" s="203">
        <f t="shared" si="7"/>
        <v>15.350414684274368</v>
      </c>
      <c r="N13" s="203">
        <f t="shared" si="8"/>
        <v>10.147600336386622</v>
      </c>
      <c r="Q13" s="208">
        <f>Q12+(Q$20-Q$12)/($A$20-$A$12)</f>
        <v>512.13969636103775</v>
      </c>
      <c r="R13" s="209"/>
      <c r="U13" s="22">
        <v>2028</v>
      </c>
      <c r="V13" s="186">
        <f>V12+(V$20-V$12)/($A$20-$A$12)</f>
        <v>163848.29249390995</v>
      </c>
      <c r="W13" s="186">
        <f>W12+(W$20-W$12)/($A$20-$A$12)</f>
        <v>170900.79249390995</v>
      </c>
      <c r="X13" s="186">
        <f>X12+(X$20-X$12)/($A$20-$A$12)</f>
        <v>593886.54249390995</v>
      </c>
      <c r="Y13" s="186">
        <f>Y12+(Y$20-Y$12)/($A$20-$A$12)</f>
        <v>268674.41749390995</v>
      </c>
      <c r="Z13" s="203"/>
      <c r="AA13" s="203"/>
      <c r="AB13" s="202"/>
      <c r="AC13" s="207">
        <f t="shared" ref="AC13:AG19" si="22">AC$12+(AC$20-AC$12)*(J13-J$12)/(J$20-J$12)</f>
        <v>161925.61809378397</v>
      </c>
      <c r="AD13" s="186">
        <f t="shared" si="22"/>
        <v>2201.1991386476466</v>
      </c>
      <c r="AE13" s="186">
        <f t="shared" si="22"/>
        <v>9165.9818765394029</v>
      </c>
      <c r="AF13" s="186">
        <f t="shared" si="22"/>
        <v>407688.73697089049</v>
      </c>
      <c r="AG13" s="186">
        <f t="shared" si="22"/>
        <v>104645.12572423878</v>
      </c>
      <c r="AJ13" s="212">
        <f t="shared" si="10"/>
        <v>4.2432594621059518</v>
      </c>
      <c r="AK13" s="212">
        <f t="shared" si="1"/>
        <v>6.5843574992489735</v>
      </c>
      <c r="AL13" s="212">
        <f t="shared" si="2"/>
        <v>61.654600054780559</v>
      </c>
      <c r="AM13" s="212">
        <f t="shared" si="3"/>
        <v>31.978116601198725</v>
      </c>
    </row>
    <row r="14" spans="1:40" x14ac:dyDescent="0.2">
      <c r="A14" s="22">
        <v>2029</v>
      </c>
      <c r="B14" s="203">
        <f t="shared" si="18"/>
        <v>8.3326465843773381</v>
      </c>
      <c r="C14" s="203">
        <f t="shared" si="19"/>
        <v>8.8911808125071818</v>
      </c>
      <c r="D14" s="203">
        <f t="shared" si="20"/>
        <v>9.5608319412429399</v>
      </c>
      <c r="E14" s="203">
        <f t="shared" si="20"/>
        <v>17.084236996763003</v>
      </c>
      <c r="F14" s="203">
        <f t="shared" si="20"/>
        <v>11.252028530693806</v>
      </c>
      <c r="G14" s="203"/>
      <c r="H14" s="203"/>
      <c r="I14" s="260">
        <f t="shared" si="21"/>
        <v>8.2025293746111068</v>
      </c>
      <c r="J14" s="203">
        <v>7.7555629328580205</v>
      </c>
      <c r="K14" s="203">
        <f t="shared" si="5"/>
        <v>8.1513935458479274</v>
      </c>
      <c r="L14" s="203">
        <f t="shared" si="6"/>
        <v>8.765326610966552</v>
      </c>
      <c r="M14" s="203">
        <f t="shared" si="7"/>
        <v>15.662749653595334</v>
      </c>
      <c r="N14" s="203">
        <f t="shared" si="8"/>
        <v>10.315807841155648</v>
      </c>
      <c r="Q14" s="208">
        <f t="shared" ref="Q14:Q19" si="23">Q13+(Q$20-Q$12)/($A$20-$A$12)</f>
        <v>513.07773373732141</v>
      </c>
      <c r="R14" s="209"/>
      <c r="U14" s="22">
        <v>2029</v>
      </c>
      <c r="V14" s="186">
        <f t="shared" ref="V14:V19" si="24">V13+(V$20-V$12)/($A$20-$A$12)</f>
        <v>164252.60506153153</v>
      </c>
      <c r="W14" s="186">
        <f t="shared" ref="W14:Y19" si="25">W13+(W$20-W$12)/($A$20-$A$12)</f>
        <v>171207.60506153153</v>
      </c>
      <c r="X14" s="186">
        <f t="shared" ref="X14:X19" si="26">X13+(X$20-X$12)/($A$20-$A$12)</f>
        <v>567002.10506153153</v>
      </c>
      <c r="Y14" s="186">
        <f t="shared" si="25"/>
        <v>266430.85506153153</v>
      </c>
      <c r="Z14" s="203"/>
      <c r="AA14" s="203"/>
      <c r="AB14" s="202"/>
      <c r="AC14" s="207">
        <f t="shared" si="22"/>
        <v>162512.84826185249</v>
      </c>
      <c r="AD14" s="186">
        <f t="shared" si="22"/>
        <v>2349.6502863568376</v>
      </c>
      <c r="AE14" s="186">
        <f t="shared" si="22"/>
        <v>9174.0550473974436</v>
      </c>
      <c r="AF14" s="186">
        <f t="shared" si="22"/>
        <v>368547.552059145</v>
      </c>
      <c r="AG14" s="186">
        <f t="shared" si="22"/>
        <v>100981.2349698481</v>
      </c>
      <c r="AJ14" s="212">
        <f t="shared" si="10"/>
        <v>3.7526584338210394</v>
      </c>
      <c r="AK14" s="212">
        <f t="shared" si="1"/>
        <v>6.1762238274784362</v>
      </c>
      <c r="AL14" s="212">
        <f t="shared" si="2"/>
        <v>56.617784262872469</v>
      </c>
      <c r="AM14" s="212">
        <f t="shared" si="3"/>
        <v>31.555548720999717</v>
      </c>
    </row>
    <row r="15" spans="1:40" x14ac:dyDescent="0.2">
      <c r="A15" s="22">
        <v>2030</v>
      </c>
      <c r="B15" s="203">
        <f t="shared" si="18"/>
        <v>8.3326465843773381</v>
      </c>
      <c r="C15" s="203">
        <f t="shared" si="19"/>
        <v>9.1646110228823137</v>
      </c>
      <c r="D15" s="203">
        <f t="shared" si="20"/>
        <v>9.8636695269105257</v>
      </c>
      <c r="E15" s="203">
        <f t="shared" si="20"/>
        <v>17.472351836113134</v>
      </c>
      <c r="F15" s="203">
        <f t="shared" si="20"/>
        <v>11.461047164863547</v>
      </c>
      <c r="G15" s="203"/>
      <c r="H15" s="203"/>
      <c r="I15" s="260">
        <f t="shared" si="21"/>
        <v>8.2025293746111068</v>
      </c>
      <c r="J15" s="203">
        <v>7.8652683559393761</v>
      </c>
      <c r="K15" s="203">
        <f t="shared" si="5"/>
        <v>8.4020731011389866</v>
      </c>
      <c r="L15" s="203">
        <f t="shared" si="6"/>
        <v>9.0429667122429134</v>
      </c>
      <c r="M15" s="203">
        <f t="shared" si="7"/>
        <v>16.018571547586753</v>
      </c>
      <c r="N15" s="203">
        <f t="shared" si="8"/>
        <v>10.507435160570463</v>
      </c>
      <c r="Q15" s="208">
        <f t="shared" si="23"/>
        <v>514.01577111360507</v>
      </c>
      <c r="R15" s="209"/>
      <c r="U15" s="22">
        <v>2030</v>
      </c>
      <c r="V15" s="186">
        <f t="shared" si="24"/>
        <v>164656.91762915312</v>
      </c>
      <c r="W15" s="186">
        <f t="shared" si="25"/>
        <v>171514.41762915312</v>
      </c>
      <c r="X15" s="186">
        <f t="shared" si="26"/>
        <v>540117.66762915312</v>
      </c>
      <c r="Y15" s="186">
        <f t="shared" si="25"/>
        <v>264187.29262915312</v>
      </c>
      <c r="Z15" s="203"/>
      <c r="AA15" s="203"/>
      <c r="AB15" s="202"/>
      <c r="AC15" s="186">
        <f t="shared" si="22"/>
        <v>162980.88423840102</v>
      </c>
      <c r="AD15" s="186">
        <f t="shared" si="22"/>
        <v>2518.770537790489</v>
      </c>
      <c r="AE15" s="186">
        <f t="shared" si="22"/>
        <v>9183.2522594530437</v>
      </c>
      <c r="AF15" s="186">
        <f t="shared" si="22"/>
        <v>323956.67394311365</v>
      </c>
      <c r="AG15" s="186">
        <f t="shared" si="22"/>
        <v>96807.214524941635</v>
      </c>
      <c r="AJ15" s="212">
        <f t="shared" si="10"/>
        <v>3.1007893173478958</v>
      </c>
      <c r="AK15" s="212">
        <f t="shared" si="1"/>
        <v>5.5460901235476614</v>
      </c>
      <c r="AL15" s="212">
        <f t="shared" si="2"/>
        <v>50.059979714637919</v>
      </c>
      <c r="AM15" s="212">
        <f t="shared" si="3"/>
        <v>30.280131434169821</v>
      </c>
    </row>
    <row r="16" spans="1:40" x14ac:dyDescent="0.2">
      <c r="A16" s="22">
        <v>2031</v>
      </c>
      <c r="B16" s="203">
        <f t="shared" si="18"/>
        <v>8.3326465843773381</v>
      </c>
      <c r="C16" s="203">
        <f t="shared" si="19"/>
        <v>9.3899012493934677</v>
      </c>
      <c r="D16" s="203">
        <f t="shared" si="20"/>
        <v>10.113189681166846</v>
      </c>
      <c r="E16" s="203">
        <f t="shared" si="20"/>
        <v>17.792135374111986</v>
      </c>
      <c r="F16" s="203">
        <f t="shared" si="20"/>
        <v>11.633266084537963</v>
      </c>
      <c r="G16" s="203"/>
      <c r="H16" s="203"/>
      <c r="I16" s="260">
        <f t="shared" si="21"/>
        <v>8.2025293746111068</v>
      </c>
      <c r="J16" s="203">
        <v>7.9599764527524544</v>
      </c>
      <c r="K16" s="203">
        <f t="shared" si="5"/>
        <v>8.6086181413368354</v>
      </c>
      <c r="L16" s="203">
        <f t="shared" si="6"/>
        <v>9.2717256384029589</v>
      </c>
      <c r="M16" s="203">
        <f t="shared" si="7"/>
        <v>16.31174761977341</v>
      </c>
      <c r="N16" s="203">
        <f t="shared" si="8"/>
        <v>10.665324671526328</v>
      </c>
      <c r="Q16" s="208">
        <f t="shared" si="23"/>
        <v>514.95380848988873</v>
      </c>
      <c r="R16" s="209"/>
      <c r="U16" s="22">
        <v>2031</v>
      </c>
      <c r="V16" s="186">
        <f t="shared" si="24"/>
        <v>165061.2301967747</v>
      </c>
      <c r="W16" s="186">
        <f t="shared" si="25"/>
        <v>171821.2301967747</v>
      </c>
      <c r="X16" s="186">
        <f t="shared" si="26"/>
        <v>513233.2301967747</v>
      </c>
      <c r="Y16" s="186">
        <f t="shared" si="25"/>
        <v>261943.7301967747</v>
      </c>
      <c r="Z16" s="203"/>
      <c r="AA16" s="203"/>
      <c r="AB16" s="202"/>
      <c r="AC16" s="186">
        <f t="shared" si="22"/>
        <v>163384.93715879397</v>
      </c>
      <c r="AD16" s="186">
        <f t="shared" si="22"/>
        <v>2658.1155637144275</v>
      </c>
      <c r="AE16" s="186">
        <f t="shared" si="22"/>
        <v>9190.8302150287436</v>
      </c>
      <c r="AF16" s="186">
        <f t="shared" si="22"/>
        <v>287216.44316426408</v>
      </c>
      <c r="AG16" s="186">
        <f t="shared" si="22"/>
        <v>93368.06999806207</v>
      </c>
      <c r="AJ16" s="212">
        <f t="shared" si="10"/>
        <v>2.8081107214497467</v>
      </c>
      <c r="AK16" s="212">
        <f t="shared" si="1"/>
        <v>5.1710209218519134</v>
      </c>
      <c r="AL16" s="212">
        <f t="shared" si="2"/>
        <v>44.652213183454705</v>
      </c>
      <c r="AM16" s="212">
        <f t="shared" si="3"/>
        <v>29.29955822053368</v>
      </c>
    </row>
    <row r="17" spans="1:39" x14ac:dyDescent="0.2">
      <c r="A17" s="22">
        <v>2032</v>
      </c>
      <c r="B17" s="203">
        <f t="shared" si="18"/>
        <v>8.3326465843773381</v>
      </c>
      <c r="C17" s="203">
        <f t="shared" si="19"/>
        <v>9.5310302607843802</v>
      </c>
      <c r="D17" s="203">
        <f t="shared" si="20"/>
        <v>10.269497095108564</v>
      </c>
      <c r="E17" s="203">
        <f t="shared" si="20"/>
        <v>17.992458021373526</v>
      </c>
      <c r="F17" s="203">
        <f t="shared" si="20"/>
        <v>11.741149530051112</v>
      </c>
      <c r="G17" s="203"/>
      <c r="H17" s="203"/>
      <c r="I17" s="260">
        <f t="shared" si="21"/>
        <v>8.2025293746111068</v>
      </c>
      <c r="J17" s="203">
        <v>8.0214709255018093</v>
      </c>
      <c r="K17" s="203">
        <f t="shared" si="5"/>
        <v>8.7380045678242517</v>
      </c>
      <c r="L17" s="203">
        <f t="shared" si="6"/>
        <v>9.4150275543172555</v>
      </c>
      <c r="M17" s="203">
        <f t="shared" si="7"/>
        <v>16.49540249851324</v>
      </c>
      <c r="N17" s="203">
        <f t="shared" si="8"/>
        <v>10.764231716608874</v>
      </c>
      <c r="Q17" s="208">
        <f t="shared" si="23"/>
        <v>515.89184586617239</v>
      </c>
      <c r="R17" s="209"/>
      <c r="U17" s="22">
        <v>2032</v>
      </c>
      <c r="V17" s="186">
        <f t="shared" si="24"/>
        <v>165465.54276439629</v>
      </c>
      <c r="W17" s="186">
        <f t="shared" si="25"/>
        <v>172128.04276439629</v>
      </c>
      <c r="X17" s="186">
        <f t="shared" si="26"/>
        <v>486348.79276439629</v>
      </c>
      <c r="Y17" s="186">
        <f t="shared" si="25"/>
        <v>259700.16776439629</v>
      </c>
      <c r="Z17" s="203"/>
      <c r="AA17" s="203"/>
      <c r="AB17" s="202"/>
      <c r="AC17" s="186">
        <f t="shared" si="22"/>
        <v>163647.29087656995</v>
      </c>
      <c r="AD17" s="186">
        <f t="shared" si="22"/>
        <v>2745.4057496023306</v>
      </c>
      <c r="AE17" s="186">
        <f t="shared" si="22"/>
        <v>9195.5772890377884</v>
      </c>
      <c r="AF17" s="186">
        <f t="shared" si="22"/>
        <v>264201.18622928811</v>
      </c>
      <c r="AG17" s="186">
        <f t="shared" si="22"/>
        <v>91213.679749424511</v>
      </c>
      <c r="AJ17" s="212">
        <f t="shared" si="10"/>
        <v>2.68556849827019</v>
      </c>
      <c r="AK17" s="212">
        <f t="shared" si="1"/>
        <v>4.9834486384905263</v>
      </c>
      <c r="AL17" s="212">
        <f t="shared" si="2"/>
        <v>41.254064307799645</v>
      </c>
      <c r="AM17" s="212">
        <f t="shared" si="3"/>
        <v>28.715018191621688</v>
      </c>
    </row>
    <row r="18" spans="1:39" x14ac:dyDescent="0.2">
      <c r="A18" s="22">
        <v>2033</v>
      </c>
      <c r="B18" s="203">
        <f t="shared" si="18"/>
        <v>8.3326465843773381</v>
      </c>
      <c r="C18" s="203">
        <f t="shared" si="19"/>
        <v>9.6048566530623258</v>
      </c>
      <c r="D18" s="203">
        <f t="shared" si="20"/>
        <v>10.351263504040949</v>
      </c>
      <c r="E18" s="203">
        <f t="shared" si="20"/>
        <v>18.097249362240522</v>
      </c>
      <c r="F18" s="203">
        <f t="shared" si="20"/>
        <v>11.797584741282691</v>
      </c>
      <c r="G18" s="203"/>
      <c r="H18" s="203"/>
      <c r="I18" s="260">
        <f t="shared" si="21"/>
        <v>8.2025293746111068</v>
      </c>
      <c r="J18" s="203">
        <v>8.0395269119106274</v>
      </c>
      <c r="K18" s="203">
        <f t="shared" si="5"/>
        <v>8.8056882636367533</v>
      </c>
      <c r="L18" s="203">
        <f t="shared" si="6"/>
        <v>9.4899906207640683</v>
      </c>
      <c r="M18" s="203">
        <f t="shared" si="7"/>
        <v>16.591474716322868</v>
      </c>
      <c r="N18" s="203">
        <f t="shared" si="8"/>
        <v>10.815971257879315</v>
      </c>
      <c r="Q18" s="208">
        <f t="shared" si="23"/>
        <v>516.82988324245605</v>
      </c>
      <c r="R18" s="209"/>
      <c r="U18" s="22">
        <v>2033</v>
      </c>
      <c r="V18" s="186">
        <f t="shared" si="24"/>
        <v>165869.85533201788</v>
      </c>
      <c r="W18" s="186">
        <f t="shared" si="25"/>
        <v>172434.85533201788</v>
      </c>
      <c r="X18" s="186">
        <f t="shared" si="26"/>
        <v>459464.35533201788</v>
      </c>
      <c r="Y18" s="186">
        <f t="shared" si="25"/>
        <v>257456.60533201788</v>
      </c>
      <c r="Z18" s="203"/>
      <c r="AA18" s="203"/>
      <c r="AB18" s="202"/>
      <c r="AC18" s="186">
        <f t="shared" si="22"/>
        <v>163724.32308695698</v>
      </c>
      <c r="AD18" s="186">
        <f t="shared" si="22"/>
        <v>2791.0683631348884</v>
      </c>
      <c r="AE18" s="186">
        <f t="shared" si="22"/>
        <v>9198.060544213391</v>
      </c>
      <c r="AF18" s="186">
        <f t="shared" si="22"/>
        <v>252161.61073652987</v>
      </c>
      <c r="AG18" s="186">
        <f t="shared" si="22"/>
        <v>90086.690634655271</v>
      </c>
      <c r="AJ18" s="212">
        <f t="shared" si="10"/>
        <v>2.5789565981190647</v>
      </c>
      <c r="AK18" s="212">
        <f t="shared" si="1"/>
        <v>4.8382206791662723</v>
      </c>
      <c r="AL18" s="212">
        <f t="shared" si="2"/>
        <v>39.3304949074383</v>
      </c>
      <c r="AM18" s="212">
        <f t="shared" si="3"/>
        <v>28.214195978320998</v>
      </c>
    </row>
    <row r="19" spans="1:39" x14ac:dyDescent="0.2">
      <c r="A19" s="22">
        <v>2034</v>
      </c>
      <c r="B19" s="203">
        <f t="shared" si="18"/>
        <v>8.3326465843773381</v>
      </c>
      <c r="C19" s="203">
        <f t="shared" si="19"/>
        <v>9.6398596966951615</v>
      </c>
      <c r="D19" s="203">
        <f t="shared" si="20"/>
        <v>10.390031119405183</v>
      </c>
      <c r="E19" s="203">
        <f t="shared" si="20"/>
        <v>18.14693370632849</v>
      </c>
      <c r="F19" s="203">
        <f t="shared" si="20"/>
        <v>11.824342166374386</v>
      </c>
      <c r="G19" s="203"/>
      <c r="H19" s="203"/>
      <c r="I19" s="260">
        <f t="shared" si="21"/>
        <v>8.2025293746111068</v>
      </c>
      <c r="J19" s="203">
        <v>8.0572116034836725</v>
      </c>
      <c r="K19" s="203">
        <f t="shared" si="5"/>
        <v>8.8377788925386387</v>
      </c>
      <c r="L19" s="203">
        <f t="shared" si="6"/>
        <v>9.5255325916599247</v>
      </c>
      <c r="M19" s="203">
        <f t="shared" si="7"/>
        <v>16.637025093743905</v>
      </c>
      <c r="N19" s="203">
        <f t="shared" si="8"/>
        <v>10.840502341747179</v>
      </c>
      <c r="Q19" s="208">
        <f t="shared" si="23"/>
        <v>517.76792061873971</v>
      </c>
      <c r="R19" s="209"/>
      <c r="U19" s="22">
        <v>2034</v>
      </c>
      <c r="V19" s="186">
        <f t="shared" si="24"/>
        <v>166274.16789963946</v>
      </c>
      <c r="W19" s="186">
        <f t="shared" si="25"/>
        <v>172741.66789963946</v>
      </c>
      <c r="X19" s="186">
        <f t="shared" si="26"/>
        <v>432579.91789963946</v>
      </c>
      <c r="Y19" s="186">
        <f t="shared" si="25"/>
        <v>255213.04289963946</v>
      </c>
      <c r="Z19" s="203"/>
      <c r="AA19" s="203"/>
      <c r="AB19" s="202"/>
      <c r="AC19" s="186">
        <f t="shared" si="22"/>
        <v>163799.77124309973</v>
      </c>
      <c r="AD19" s="186">
        <f t="shared" si="22"/>
        <v>2812.7182149636487</v>
      </c>
      <c r="AE19" s="186">
        <f t="shared" si="22"/>
        <v>9199.2379211186017</v>
      </c>
      <c r="AF19" s="186">
        <f t="shared" si="22"/>
        <v>246453.3298184094</v>
      </c>
      <c r="AG19" s="186">
        <f t="shared" si="22"/>
        <v>89552.35531173335</v>
      </c>
      <c r="AJ19" s="212">
        <f t="shared" si="10"/>
        <v>2.5659239454228802</v>
      </c>
      <c r="AK19" s="212">
        <f t="shared" si="1"/>
        <v>4.8084475302339156</v>
      </c>
      <c r="AL19" s="212">
        <f t="shared" si="2"/>
        <v>38.505013878216303</v>
      </c>
      <c r="AM19" s="212">
        <f t="shared" si="3"/>
        <v>28.102995597149889</v>
      </c>
    </row>
    <row r="20" spans="1:39" x14ac:dyDescent="0.2">
      <c r="A20" s="200">
        <v>2035</v>
      </c>
      <c r="B20" s="201">
        <f t="shared" si="18"/>
        <v>8.3326465843773381</v>
      </c>
      <c r="C20" s="201">
        <f>C$3*'Class 8 Sleeper Cab'!$F78</f>
        <v>9.6681044495891211</v>
      </c>
      <c r="D20" s="201">
        <f>D$3*'Class 8 Sleeper Cab'!$P78</f>
        <v>10.421313590944994</v>
      </c>
      <c r="E20" s="201">
        <f>E$3*'Class 8 Sleeper Cab'!$K78</f>
        <v>18.1870251348392</v>
      </c>
      <c r="F20" s="201">
        <f>F$3*'Class 8 Sleeper Cab'!$U78</f>
        <v>11.845933341922464</v>
      </c>
      <c r="G20" s="201"/>
      <c r="H20" s="201"/>
      <c r="I20" s="260">
        <f t="shared" si="21"/>
        <v>8.2025293746111068</v>
      </c>
      <c r="J20" s="203">
        <v>8.0685847555815613</v>
      </c>
      <c r="K20" s="202">
        <f t="shared" si="5"/>
        <v>8.8636735516732301</v>
      </c>
      <c r="L20" s="203">
        <f t="shared" si="6"/>
        <v>9.5542122172332906</v>
      </c>
      <c r="M20" s="203">
        <f t="shared" si="7"/>
        <v>16.673780730424504</v>
      </c>
      <c r="N20" s="203">
        <f t="shared" si="8"/>
        <v>10.860297031870036</v>
      </c>
      <c r="Q20" s="204">
        <f>'Class 8 Sleeper Cab'!K73</f>
        <v>518.7059579950236</v>
      </c>
      <c r="R20" s="205"/>
      <c r="S20" s="200"/>
      <c r="U20" s="200">
        <v>2035</v>
      </c>
      <c r="V20" s="206">
        <f>'Class 8 Sleeper Cab'!F$83</f>
        <v>166678.48046726114</v>
      </c>
      <c r="W20" s="206">
        <f>'Class 8 Sleeper Cab'!$P$83</f>
        <v>173048.48046726114</v>
      </c>
      <c r="X20" s="206">
        <f>'Class 8 Sleeper Cab'!$K$83</f>
        <v>405695.48046726116</v>
      </c>
      <c r="Y20" s="206">
        <f>'Class 8 Sleeper Cab'!$U$83</f>
        <v>252969.48046726114</v>
      </c>
      <c r="Z20" s="201"/>
      <c r="AA20" s="201"/>
      <c r="AB20" s="202"/>
      <c r="AC20" s="221">
        <f t="shared" si="14"/>
        <v>163848.29249390995</v>
      </c>
      <c r="AD20" s="206">
        <f t="shared" ref="AD20" si="27">V20-$AC20</f>
        <v>2830.1879733511887</v>
      </c>
      <c r="AE20" s="206">
        <f>W20-$AC20</f>
        <v>9200.1879733511887</v>
      </c>
      <c r="AF20" s="206">
        <f t="shared" ref="AF20" si="28">X20-$AC20</f>
        <v>241847.18797335122</v>
      </c>
      <c r="AG20" s="206">
        <f t="shared" ref="AG20" si="29">Y20-$AC20</f>
        <v>89121.187973351189</v>
      </c>
      <c r="AH20" s="200"/>
      <c r="AJ20" s="212">
        <f t="shared" si="10"/>
        <v>2.5457207674616869</v>
      </c>
      <c r="AK20" s="212">
        <f t="shared" si="1"/>
        <v>4.7739628043846647</v>
      </c>
      <c r="AL20" s="212">
        <f t="shared" si="2"/>
        <v>37.810439717116886</v>
      </c>
      <c r="AM20" s="212">
        <f t="shared" si="3"/>
        <v>27.973665631074404</v>
      </c>
    </row>
    <row r="21" spans="1:39" x14ac:dyDescent="0.2">
      <c r="A21" s="22">
        <v>2036</v>
      </c>
      <c r="B21" s="203">
        <f t="shared" si="18"/>
        <v>8.3326465843773381</v>
      </c>
      <c r="C21" s="203">
        <f>C$20+(C$35-C$20)/(1+EXP(-($A21-$A$20-($A$35-$A$20)*$C$44)/$C$41))</f>
        <v>9.755327009859899</v>
      </c>
      <c r="D21" s="203">
        <f t="shared" ref="D21:F21" si="30">D$20+(D$35-D$20)/(1+EXP(-($A21-$A$20-($A$35-$A$20)*$C$44)/$C$41))</f>
        <v>10.568175263619976</v>
      </c>
      <c r="E21" s="203">
        <f t="shared" si="30"/>
        <v>18.456853529780751</v>
      </c>
      <c r="F21" s="203">
        <f t="shared" si="30"/>
        <v>12.041645534789309</v>
      </c>
      <c r="G21" s="203"/>
      <c r="H21" s="203"/>
      <c r="I21" s="260">
        <f t="shared" si="21"/>
        <v>8.2025293746111068</v>
      </c>
      <c r="J21" s="203">
        <v>8.0827348383128879</v>
      </c>
      <c r="K21" s="203">
        <f t="shared" si="5"/>
        <v>8.943638792492921</v>
      </c>
      <c r="L21" s="203">
        <f t="shared" si="6"/>
        <v>9.6888543211359899</v>
      </c>
      <c r="M21" s="203">
        <f t="shared" si="7"/>
        <v>16.921158157944486</v>
      </c>
      <c r="N21" s="203">
        <f t="shared" si="8"/>
        <v>11.039725067293004</v>
      </c>
      <c r="Q21" s="208">
        <f>Q20+(Q$35-Q$20)/($A$35-$A$20)</f>
        <v>520.5296743194275</v>
      </c>
      <c r="R21" s="209"/>
      <c r="U21" s="22">
        <v>2036</v>
      </c>
      <c r="V21" s="186">
        <f>V20+(V$35-V$20)/($A$35-$A$20)</f>
        <v>167017.97374212695</v>
      </c>
      <c r="W21" s="186">
        <f>W20+(W$35-W$20)/($A$35-$A$20)</f>
        <v>173238.3070754603</v>
      </c>
      <c r="X21" s="186">
        <f>X20+(X$35-X$20)/($A$35-$A$20)</f>
        <v>392543.10707546031</v>
      </c>
      <c r="Y21" s="186">
        <f>Y20+(Y$35-Y$20)/($A$35-$A$20)</f>
        <v>248766.70707546029</v>
      </c>
      <c r="Z21" s="203"/>
      <c r="AA21" s="203"/>
      <c r="AB21" s="202"/>
      <c r="AC21" s="186">
        <f t="shared" ref="AC21:AC34" si="31">AC$20+(AC$35-AC$20)*(J21-J$20)/(J$35-J$20)</f>
        <v>163848.29249390995</v>
      </c>
      <c r="AD21" s="186">
        <f t="shared" ref="AD21:AD34" si="32">AD$20+(AD$35-AD$20)*(K21-K$20)/(K$35-K$20)</f>
        <v>3020.2713817262761</v>
      </c>
      <c r="AE21" s="186">
        <f t="shared" ref="AE21:AE34" si="33">AE$20+(AE$35-AE$20)*(L21-L$20)/(L$35-L$20)</f>
        <v>9306.4725196387062</v>
      </c>
      <c r="AF21" s="186">
        <f t="shared" ref="AF21:AF34" si="34">AF$20+(AF$35-AF$20)*(M21-M$20)/(M$35-M$20)</f>
        <v>234483.13057479609</v>
      </c>
      <c r="AG21" s="186">
        <f t="shared" ref="AG21:AG34" si="35">AG$20+(AG$35-AG$20)*(N21-N$20)/(N$35-N$20)</f>
        <v>86768.041239421364</v>
      </c>
      <c r="AJ21" s="212">
        <f t="shared" si="10"/>
        <v>2.536085246619288</v>
      </c>
      <c r="AK21" s="212">
        <f t="shared" si="1"/>
        <v>4.5377232640230716</v>
      </c>
      <c r="AL21" s="212">
        <f t="shared" si="2"/>
        <v>36.28484077228854</v>
      </c>
      <c r="AM21" s="212">
        <f t="shared" si="3"/>
        <v>26.183427316802192</v>
      </c>
    </row>
    <row r="22" spans="1:39" x14ac:dyDescent="0.2">
      <c r="A22" s="22">
        <v>2037</v>
      </c>
      <c r="B22" s="203">
        <f t="shared" si="18"/>
        <v>8.3326465843773381</v>
      </c>
      <c r="C22" s="203">
        <f t="shared" ref="C22:F34" si="36">C$20+(C$35-C$20)/(1+EXP(-($A22-$A$20-($A$35-$A$20)*$C$44)/$C$41))</f>
        <v>9.8085102492464511</v>
      </c>
      <c r="D22" s="203">
        <f t="shared" si="36"/>
        <v>10.65772296171936</v>
      </c>
      <c r="E22" s="203">
        <f t="shared" si="36"/>
        <v>18.621379176321227</v>
      </c>
      <c r="F22" s="203">
        <f t="shared" si="36"/>
        <v>12.160979436153719</v>
      </c>
      <c r="G22" s="203"/>
      <c r="H22" s="203"/>
      <c r="I22" s="260">
        <f t="shared" si="21"/>
        <v>8.2025293746111068</v>
      </c>
      <c r="J22" s="203">
        <v>8.0946677445201622</v>
      </c>
      <c r="K22" s="203">
        <f t="shared" si="5"/>
        <v>8.992396940980127</v>
      </c>
      <c r="L22" s="203">
        <f t="shared" si="6"/>
        <v>9.7709512375889833</v>
      </c>
      <c r="M22" s="203">
        <f t="shared" si="7"/>
        <v>17.071994511587182</v>
      </c>
      <c r="N22" s="203">
        <f t="shared" si="8"/>
        <v>11.149129837468676</v>
      </c>
      <c r="Q22" s="208">
        <f t="shared" ref="Q22:Q34" si="37">Q21+(Q$35-Q$20)/($A$35-$A$20)</f>
        <v>522.3533906438314</v>
      </c>
      <c r="R22" s="209"/>
      <c r="U22" s="22">
        <v>2037</v>
      </c>
      <c r="V22" s="186">
        <f t="shared" ref="V22:V34" si="38">V21+(V$35-V$20)/($A$35-$A$20)</f>
        <v>167357.46701699277</v>
      </c>
      <c r="W22" s="186">
        <f t="shared" ref="W22:Y34" si="39">W21+(W$35-W$20)/($A$35-$A$20)</f>
        <v>173428.13368365946</v>
      </c>
      <c r="X22" s="186">
        <f t="shared" ref="X22:X34" si="40">X21+(X$35-X$20)/($A$35-$A$20)</f>
        <v>379390.73368365946</v>
      </c>
      <c r="Y22" s="186">
        <f t="shared" si="39"/>
        <v>244563.93368365944</v>
      </c>
      <c r="Z22" s="203"/>
      <c r="AA22" s="203"/>
      <c r="AB22" s="202"/>
      <c r="AC22" s="186">
        <f t="shared" si="31"/>
        <v>163848.29249390995</v>
      </c>
      <c r="AD22" s="186">
        <f t="shared" si="32"/>
        <v>3136.1731780005457</v>
      </c>
      <c r="AE22" s="186">
        <f t="shared" si="33"/>
        <v>9371.2786483598993</v>
      </c>
      <c r="AF22" s="186">
        <f t="shared" si="34"/>
        <v>229992.95708908531</v>
      </c>
      <c r="AG22" s="186">
        <f t="shared" si="35"/>
        <v>85333.229355044721</v>
      </c>
      <c r="AJ22" s="212">
        <f t="shared" si="10"/>
        <v>2.5428994211483587</v>
      </c>
      <c r="AK22" s="212">
        <f t="shared" si="1"/>
        <v>4.4216794620397044</v>
      </c>
      <c r="AL22" s="212">
        <f t="shared" si="2"/>
        <v>35.40387457268799</v>
      </c>
      <c r="AM22" s="212">
        <f t="shared" si="3"/>
        <v>25.212937198159526</v>
      </c>
    </row>
    <row r="23" spans="1:39" x14ac:dyDescent="0.2">
      <c r="A23" s="22">
        <v>2038</v>
      </c>
      <c r="B23" s="203">
        <f t="shared" si="18"/>
        <v>8.3326465843773381</v>
      </c>
      <c r="C23" s="203">
        <f t="shared" si="36"/>
        <v>9.8909096455401055</v>
      </c>
      <c r="D23" s="203">
        <f t="shared" si="36"/>
        <v>10.796463594068683</v>
      </c>
      <c r="E23" s="203">
        <f t="shared" si="36"/>
        <v>18.876286814632298</v>
      </c>
      <c r="F23" s="203">
        <f t="shared" si="36"/>
        <v>12.345869291364011</v>
      </c>
      <c r="G23" s="203"/>
      <c r="H23" s="203"/>
      <c r="I23" s="260">
        <f t="shared" si="21"/>
        <v>8.2025293746111068</v>
      </c>
      <c r="J23" s="203">
        <v>8.1005862254693923</v>
      </c>
      <c r="K23" s="203">
        <f t="shared" si="5"/>
        <v>9.0679403273192083</v>
      </c>
      <c r="L23" s="203">
        <f t="shared" si="6"/>
        <v>9.8981480091908214</v>
      </c>
      <c r="M23" s="203">
        <f t="shared" si="7"/>
        <v>17.305692658271287</v>
      </c>
      <c r="N23" s="203">
        <f t="shared" si="8"/>
        <v>11.318636003661346</v>
      </c>
      <c r="Q23" s="208">
        <f t="shared" si="37"/>
        <v>524.17710696823531</v>
      </c>
      <c r="R23" s="209"/>
      <c r="U23" s="22">
        <v>2038</v>
      </c>
      <c r="V23" s="186">
        <f t="shared" si="38"/>
        <v>167696.96029185859</v>
      </c>
      <c r="W23" s="186">
        <f t="shared" si="39"/>
        <v>173617.96029185862</v>
      </c>
      <c r="X23" s="186">
        <f t="shared" si="40"/>
        <v>366238.36029185861</v>
      </c>
      <c r="Y23" s="186">
        <f t="shared" si="39"/>
        <v>240361.1602918586</v>
      </c>
      <c r="Z23" s="203"/>
      <c r="AA23" s="203"/>
      <c r="AB23" s="202"/>
      <c r="AC23" s="186">
        <f t="shared" si="31"/>
        <v>163848.29249390995</v>
      </c>
      <c r="AD23" s="186">
        <f t="shared" si="32"/>
        <v>3315.7455047807161</v>
      </c>
      <c r="AE23" s="186">
        <f t="shared" si="33"/>
        <v>9471.685956082214</v>
      </c>
      <c r="AF23" s="186">
        <f t="shared" si="34"/>
        <v>223036.11149742885</v>
      </c>
      <c r="AG23" s="186">
        <f t="shared" si="35"/>
        <v>83110.205063344809</v>
      </c>
      <c r="AJ23" s="212">
        <f t="shared" si="10"/>
        <v>2.5177975968296602</v>
      </c>
      <c r="AK23" s="212">
        <f t="shared" si="1"/>
        <v>4.2248749258207869</v>
      </c>
      <c r="AL23" s="212">
        <f t="shared" si="2"/>
        <v>33.966578828742243</v>
      </c>
      <c r="AM23" s="212">
        <f t="shared" si="3"/>
        <v>23.679478797558659</v>
      </c>
    </row>
    <row r="24" spans="1:39" x14ac:dyDescent="0.2">
      <c r="A24" s="22">
        <v>2039</v>
      </c>
      <c r="B24" s="203">
        <f t="shared" si="18"/>
        <v>8.3326465843773381</v>
      </c>
      <c r="C24" s="203">
        <f t="shared" si="36"/>
        <v>10.014049599909024</v>
      </c>
      <c r="D24" s="203">
        <f t="shared" si="36"/>
        <v>11.003801461881755</v>
      </c>
      <c r="E24" s="203">
        <f t="shared" si="36"/>
        <v>19.257227893836927</v>
      </c>
      <c r="F24" s="203">
        <f t="shared" si="36"/>
        <v>12.622173844042205</v>
      </c>
      <c r="G24" s="203"/>
      <c r="H24" s="203"/>
      <c r="I24" s="260">
        <f t="shared" si="21"/>
        <v>8.2025293746111068</v>
      </c>
      <c r="J24" s="203">
        <v>8.1041670415640823</v>
      </c>
      <c r="K24" s="203">
        <f t="shared" si="5"/>
        <v>9.1808344693286497</v>
      </c>
      <c r="L24" s="203">
        <f t="shared" si="6"/>
        <v>10.088234409764738</v>
      </c>
      <c r="M24" s="203">
        <f t="shared" si="7"/>
        <v>17.654937682060353</v>
      </c>
      <c r="N24" s="203">
        <f t="shared" si="8"/>
        <v>11.571950742713911</v>
      </c>
      <c r="Q24" s="208">
        <f t="shared" si="37"/>
        <v>526.00082329263921</v>
      </c>
      <c r="R24" s="209"/>
      <c r="U24" s="22">
        <v>2039</v>
      </c>
      <c r="V24" s="186">
        <f t="shared" si="38"/>
        <v>168036.45356672441</v>
      </c>
      <c r="W24" s="186">
        <f t="shared" si="39"/>
        <v>173807.78690005778</v>
      </c>
      <c r="X24" s="186">
        <f t="shared" si="40"/>
        <v>353085.98690005776</v>
      </c>
      <c r="Y24" s="186">
        <f t="shared" si="39"/>
        <v>236158.38690005775</v>
      </c>
      <c r="Z24" s="203"/>
      <c r="AA24" s="203"/>
      <c r="AB24" s="202"/>
      <c r="AC24" s="186">
        <f t="shared" si="31"/>
        <v>163848.29249390995</v>
      </c>
      <c r="AD24" s="186">
        <f t="shared" si="32"/>
        <v>3584.1033947684814</v>
      </c>
      <c r="AE24" s="186">
        <f t="shared" si="33"/>
        <v>9621.7374351873405</v>
      </c>
      <c r="AF24" s="186">
        <f t="shared" si="34"/>
        <v>212639.60755151126</v>
      </c>
      <c r="AG24" s="186">
        <f t="shared" si="35"/>
        <v>79788.055604077366</v>
      </c>
      <c r="AJ24" s="212">
        <f t="shared" si="10"/>
        <v>2.4767917722909978</v>
      </c>
      <c r="AK24" s="212">
        <f t="shared" si="1"/>
        <v>3.9647940778763493</v>
      </c>
      <c r="AL24" s="212">
        <f t="shared" si="2"/>
        <v>31.8551987698415</v>
      </c>
      <c r="AM24" s="212">
        <f t="shared" si="3"/>
        <v>21.577485875943268</v>
      </c>
    </row>
    <row r="25" spans="1:39" x14ac:dyDescent="0.2">
      <c r="A25" s="22">
        <v>2040</v>
      </c>
      <c r="B25" s="203">
        <f t="shared" si="18"/>
        <v>8.3326465843773381</v>
      </c>
      <c r="C25" s="203">
        <f t="shared" si="36"/>
        <v>10.1884927718706</v>
      </c>
      <c r="D25" s="203">
        <f t="shared" si="36"/>
        <v>11.297521526294831</v>
      </c>
      <c r="E25" s="203">
        <f t="shared" si="36"/>
        <v>19.796878655667111</v>
      </c>
      <c r="F25" s="203">
        <f t="shared" si="36"/>
        <v>13.013593857502713</v>
      </c>
      <c r="G25" s="203"/>
      <c r="H25" s="203"/>
      <c r="I25" s="260">
        <f t="shared" si="21"/>
        <v>8.2025293746111068</v>
      </c>
      <c r="J25" s="203">
        <v>8.1043325932001693</v>
      </c>
      <c r="K25" s="203">
        <f t="shared" si="5"/>
        <v>9.3407631645188953</v>
      </c>
      <c r="L25" s="203">
        <f t="shared" si="6"/>
        <v>10.357515609622332</v>
      </c>
      <c r="M25" s="203">
        <f t="shared" si="7"/>
        <v>18.149687010609217</v>
      </c>
      <c r="N25" s="203">
        <f t="shared" si="8"/>
        <v>11.930802805079965</v>
      </c>
      <c r="Q25" s="208">
        <f t="shared" si="37"/>
        <v>527.82453961704311</v>
      </c>
      <c r="R25" s="209"/>
      <c r="U25" s="22">
        <v>2040</v>
      </c>
      <c r="V25" s="186">
        <f t="shared" si="38"/>
        <v>168375.94684159022</v>
      </c>
      <c r="W25" s="186">
        <f t="shared" si="39"/>
        <v>173997.61350825694</v>
      </c>
      <c r="X25" s="186">
        <f t="shared" si="40"/>
        <v>339933.61350825691</v>
      </c>
      <c r="Y25" s="186">
        <f t="shared" si="39"/>
        <v>231955.61350825691</v>
      </c>
      <c r="Z25" s="203"/>
      <c r="AA25" s="203"/>
      <c r="AB25" s="202"/>
      <c r="AC25" s="186">
        <f t="shared" si="31"/>
        <v>163848.29249390995</v>
      </c>
      <c r="AD25" s="186">
        <f t="shared" si="32"/>
        <v>3964.2659649943262</v>
      </c>
      <c r="AE25" s="186">
        <f t="shared" si="33"/>
        <v>9834.3041533315063</v>
      </c>
      <c r="AF25" s="186">
        <f t="shared" si="34"/>
        <v>197911.65726980605</v>
      </c>
      <c r="AG25" s="186">
        <f t="shared" si="35"/>
        <v>75081.814706270758</v>
      </c>
      <c r="AJ25" s="212">
        <f t="shared" si="10"/>
        <v>2.4271279170377449</v>
      </c>
      <c r="AK25" s="212">
        <f t="shared" si="1"/>
        <v>3.6637009666619047</v>
      </c>
      <c r="AL25" s="212">
        <f t="shared" si="2"/>
        <v>28.979608045971801</v>
      </c>
      <c r="AM25" s="212">
        <f t="shared" si="3"/>
        <v>18.972446961220772</v>
      </c>
    </row>
    <row r="26" spans="1:39" x14ac:dyDescent="0.2">
      <c r="A26" s="22">
        <v>2041</v>
      </c>
      <c r="B26" s="203">
        <f t="shared" si="18"/>
        <v>8.3326465843773381</v>
      </c>
      <c r="C26" s="203">
        <f t="shared" si="36"/>
        <v>10.417774653518537</v>
      </c>
      <c r="D26" s="203">
        <f t="shared" si="36"/>
        <v>11.683576699960316</v>
      </c>
      <c r="E26" s="203">
        <f t="shared" si="36"/>
        <v>20.506176363991415</v>
      </c>
      <c r="F26" s="203">
        <f t="shared" si="36"/>
        <v>13.528062358572246</v>
      </c>
      <c r="G26" s="203"/>
      <c r="H26" s="203"/>
      <c r="I26" s="260">
        <f t="shared" si="21"/>
        <v>8.2025293746111068</v>
      </c>
      <c r="J26" s="203">
        <v>8.1043630004564644</v>
      </c>
      <c r="K26" s="203">
        <f t="shared" si="5"/>
        <v>9.5509677357290315</v>
      </c>
      <c r="L26" s="203">
        <f t="shared" si="6"/>
        <v>10.711449211617168</v>
      </c>
      <c r="M26" s="203">
        <f t="shared" si="7"/>
        <v>18.799967876969088</v>
      </c>
      <c r="N26" s="203">
        <f t="shared" si="8"/>
        <v>12.40246515315201</v>
      </c>
      <c r="Q26" s="208">
        <f t="shared" si="37"/>
        <v>529.64825594144702</v>
      </c>
      <c r="R26" s="209"/>
      <c r="U26" s="22">
        <v>2041</v>
      </c>
      <c r="V26" s="186">
        <f t="shared" si="38"/>
        <v>168715.44011645604</v>
      </c>
      <c r="W26" s="186">
        <f t="shared" si="39"/>
        <v>174187.4401164561</v>
      </c>
      <c r="X26" s="186">
        <f t="shared" si="40"/>
        <v>326781.24011645606</v>
      </c>
      <c r="Y26" s="186">
        <f t="shared" si="39"/>
        <v>227752.84011645606</v>
      </c>
      <c r="Z26" s="203"/>
      <c r="AA26" s="203"/>
      <c r="AB26" s="202"/>
      <c r="AC26" s="186">
        <f t="shared" si="31"/>
        <v>163848.29249390995</v>
      </c>
      <c r="AD26" s="186">
        <f t="shared" si="32"/>
        <v>4463.9380843060389</v>
      </c>
      <c r="AE26" s="186">
        <f t="shared" si="33"/>
        <v>10113.694263954798</v>
      </c>
      <c r="AF26" s="186">
        <f t="shared" si="34"/>
        <v>178553.76486602385</v>
      </c>
      <c r="AG26" s="186">
        <f t="shared" si="35"/>
        <v>68896.099573922285</v>
      </c>
      <c r="AJ26" s="212">
        <f t="shared" si="10"/>
        <v>2.3885511334902261</v>
      </c>
      <c r="AK26" s="212">
        <f t="shared" si="1"/>
        <v>3.3676081061693917</v>
      </c>
      <c r="AL26" s="212">
        <f t="shared" si="2"/>
        <v>25.43546336159444</v>
      </c>
      <c r="AM26" s="212">
        <f t="shared" si="3"/>
        <v>16.111827494289358</v>
      </c>
    </row>
    <row r="27" spans="1:39" x14ac:dyDescent="0.2">
      <c r="A27" s="22">
        <v>2042</v>
      </c>
      <c r="B27" s="203">
        <f t="shared" si="18"/>
        <v>8.3326465843773381</v>
      </c>
      <c r="C27" s="203">
        <f t="shared" si="36"/>
        <v>10.691176268768215</v>
      </c>
      <c r="D27" s="203">
        <f t="shared" si="36"/>
        <v>12.143918822490988</v>
      </c>
      <c r="E27" s="203">
        <f t="shared" si="36"/>
        <v>21.351961202090958</v>
      </c>
      <c r="F27" s="203">
        <f t="shared" si="36"/>
        <v>14.141527836858355</v>
      </c>
      <c r="G27" s="203"/>
      <c r="H27" s="203"/>
      <c r="I27" s="260">
        <f t="shared" si="21"/>
        <v>8.2025293746111068</v>
      </c>
      <c r="J27" s="203">
        <v>8.1043847804208973</v>
      </c>
      <c r="K27" s="203">
        <f t="shared" si="5"/>
        <v>9.8016210751410089</v>
      </c>
      <c r="L27" s="203">
        <f t="shared" si="6"/>
        <v>11.133488745578724</v>
      </c>
      <c r="M27" s="203">
        <f t="shared" si="7"/>
        <v>19.575379514168326</v>
      </c>
      <c r="N27" s="203">
        <f t="shared" si="8"/>
        <v>12.964887473173619</v>
      </c>
      <c r="Q27" s="208">
        <f t="shared" si="37"/>
        <v>531.47197226585092</v>
      </c>
      <c r="R27" s="209"/>
      <c r="U27" s="22">
        <v>2042</v>
      </c>
      <c r="V27" s="186">
        <f t="shared" si="38"/>
        <v>169054.93339132186</v>
      </c>
      <c r="W27" s="186">
        <f t="shared" si="39"/>
        <v>174377.26672465526</v>
      </c>
      <c r="X27" s="186">
        <f t="shared" si="40"/>
        <v>313628.86672465521</v>
      </c>
      <c r="Y27" s="186">
        <f t="shared" si="39"/>
        <v>223550.06672465522</v>
      </c>
      <c r="Z27" s="203"/>
      <c r="AA27" s="203"/>
      <c r="AB27" s="202"/>
      <c r="AC27" s="186">
        <f t="shared" si="31"/>
        <v>163848.29249390995</v>
      </c>
      <c r="AD27" s="186">
        <f t="shared" si="32"/>
        <v>5059.7599762635509</v>
      </c>
      <c r="AE27" s="186">
        <f t="shared" si="33"/>
        <v>10446.846220752168</v>
      </c>
      <c r="AF27" s="186">
        <f t="shared" si="34"/>
        <v>155470.91587252976</v>
      </c>
      <c r="AG27" s="186">
        <f t="shared" si="35"/>
        <v>61520.093687616529</v>
      </c>
      <c r="AJ27" s="212">
        <f t="shared" si="10"/>
        <v>2.3681301451232972</v>
      </c>
      <c r="AK27" s="212">
        <f t="shared" si="1"/>
        <v>3.111876472579493</v>
      </c>
      <c r="AL27" s="212">
        <f t="shared" si="2"/>
        <v>21.501973363180195</v>
      </c>
      <c r="AM27" s="212">
        <f t="shared" si="3"/>
        <v>13.299172039308701</v>
      </c>
    </row>
    <row r="28" spans="1:39" x14ac:dyDescent="0.2">
      <c r="A28" s="22">
        <v>2043</v>
      </c>
      <c r="B28" s="203">
        <f t="shared" si="18"/>
        <v>8.3326465843773381</v>
      </c>
      <c r="C28" s="203">
        <f t="shared" si="36"/>
        <v>10.981754668512043</v>
      </c>
      <c r="D28" s="203">
        <f t="shared" si="36"/>
        <v>12.633182491169324</v>
      </c>
      <c r="E28" s="203">
        <f t="shared" si="36"/>
        <v>22.2508834873822</v>
      </c>
      <c r="F28" s="203">
        <f t="shared" si="36"/>
        <v>14.793535019828607</v>
      </c>
      <c r="G28" s="203"/>
      <c r="H28" s="203"/>
      <c r="I28" s="260">
        <f t="shared" si="21"/>
        <v>8.2025293746111068</v>
      </c>
      <c r="J28" s="203">
        <v>8.1044016873015927</v>
      </c>
      <c r="K28" s="203">
        <f t="shared" si="5"/>
        <v>10.06802201132518</v>
      </c>
      <c r="L28" s="203">
        <f t="shared" si="6"/>
        <v>11.582043419607206</v>
      </c>
      <c r="M28" s="203">
        <f t="shared" si="7"/>
        <v>20.399507317781811</v>
      </c>
      <c r="N28" s="203">
        <f t="shared" si="8"/>
        <v>13.562644650221907</v>
      </c>
      <c r="Q28" s="208">
        <f t="shared" si="37"/>
        <v>533.29568859025483</v>
      </c>
      <c r="R28" s="209"/>
      <c r="U28" s="22">
        <v>2043</v>
      </c>
      <c r="V28" s="186">
        <f t="shared" si="38"/>
        <v>169394.42666618768</v>
      </c>
      <c r="W28" s="186">
        <f t="shared" si="39"/>
        <v>174567.09333285442</v>
      </c>
      <c r="X28" s="186">
        <f t="shared" si="40"/>
        <v>300476.49333285436</v>
      </c>
      <c r="Y28" s="186">
        <f t="shared" si="39"/>
        <v>219347.29333285437</v>
      </c>
      <c r="Z28" s="203"/>
      <c r="AA28" s="203"/>
      <c r="AB28" s="202"/>
      <c r="AC28" s="186">
        <f t="shared" si="31"/>
        <v>163848.29249390995</v>
      </c>
      <c r="AD28" s="186">
        <f t="shared" si="32"/>
        <v>5693.0150934260564</v>
      </c>
      <c r="AE28" s="186">
        <f t="shared" si="33"/>
        <v>10800.928848937441</v>
      </c>
      <c r="AF28" s="186">
        <f t="shared" si="34"/>
        <v>130937.8591971601</v>
      </c>
      <c r="AG28" s="186">
        <f t="shared" si="35"/>
        <v>53680.681382073082</v>
      </c>
      <c r="AJ28" s="212">
        <f t="shared" si="10"/>
        <v>2.3656469526858444</v>
      </c>
      <c r="AK28" s="212">
        <f t="shared" si="1"/>
        <v>2.9152943662663704</v>
      </c>
      <c r="AL28" s="212">
        <f t="shared" si="2"/>
        <v>17.606523418757831</v>
      </c>
      <c r="AM28" s="212">
        <f t="shared" si="3"/>
        <v>10.810119570171999</v>
      </c>
    </row>
    <row r="29" spans="1:39" x14ac:dyDescent="0.2">
      <c r="A29" s="22">
        <v>2044</v>
      </c>
      <c r="B29" s="203">
        <f t="shared" si="18"/>
        <v>8.3326465843773381</v>
      </c>
      <c r="C29" s="203">
        <f t="shared" si="36"/>
        <v>11.255156283761721</v>
      </c>
      <c r="D29" s="203">
        <f t="shared" si="36"/>
        <v>13.093524613699996</v>
      </c>
      <c r="E29" s="203">
        <f t="shared" si="36"/>
        <v>23.096668325481744</v>
      </c>
      <c r="F29" s="203">
        <f t="shared" si="36"/>
        <v>15.407000498114716</v>
      </c>
      <c r="G29" s="203"/>
      <c r="H29" s="203"/>
      <c r="I29" s="260">
        <f t="shared" si="21"/>
        <v>8.2025293746111068</v>
      </c>
      <c r="J29" s="203">
        <v>8.1044204062362173</v>
      </c>
      <c r="K29" s="203">
        <f t="shared" si="5"/>
        <v>10.318675350737157</v>
      </c>
      <c r="L29" s="203">
        <f t="shared" si="6"/>
        <v>12.004082953568762</v>
      </c>
      <c r="M29" s="203">
        <f t="shared" si="7"/>
        <v>21.174918954981049</v>
      </c>
      <c r="N29" s="203">
        <f t="shared" si="8"/>
        <v>14.125066970243514</v>
      </c>
      <c r="Q29" s="208">
        <f t="shared" si="37"/>
        <v>535.11940491465873</v>
      </c>
      <c r="R29" s="209"/>
      <c r="U29" s="22">
        <v>2044</v>
      </c>
      <c r="V29" s="186">
        <f t="shared" si="38"/>
        <v>169733.91994105349</v>
      </c>
      <c r="W29" s="186">
        <f t="shared" si="39"/>
        <v>174756.91994105358</v>
      </c>
      <c r="X29" s="186">
        <f t="shared" si="40"/>
        <v>287324.1199410535</v>
      </c>
      <c r="Y29" s="186">
        <f t="shared" si="39"/>
        <v>215144.51994105353</v>
      </c>
      <c r="Z29" s="203"/>
      <c r="AA29" s="203"/>
      <c r="AB29" s="202"/>
      <c r="AC29" s="186">
        <f t="shared" si="31"/>
        <v>163848.29249390995</v>
      </c>
      <c r="AD29" s="186">
        <f t="shared" si="32"/>
        <v>6288.8369853835684</v>
      </c>
      <c r="AE29" s="186">
        <f t="shared" si="33"/>
        <v>11134.080805734813</v>
      </c>
      <c r="AF29" s="186">
        <f t="shared" si="34"/>
        <v>107855.010203666</v>
      </c>
      <c r="AG29" s="186">
        <f t="shared" si="35"/>
        <v>46304.675495767347</v>
      </c>
      <c r="AJ29" s="212">
        <f t="shared" si="10"/>
        <v>2.3751367771736258</v>
      </c>
      <c r="AK29" s="212">
        <f t="shared" si="1"/>
        <v>2.7776549214640398</v>
      </c>
      <c r="AL29" s="212">
        <f t="shared" si="2"/>
        <v>14.160933691710976</v>
      </c>
      <c r="AM29" s="212">
        <f t="shared" si="3"/>
        <v>8.8042869536573392</v>
      </c>
    </row>
    <row r="30" spans="1:39" x14ac:dyDescent="0.2">
      <c r="A30" s="22">
        <v>2045</v>
      </c>
      <c r="B30" s="203">
        <f t="shared" si="18"/>
        <v>8.3326465843773381</v>
      </c>
      <c r="C30" s="203">
        <f t="shared" si="36"/>
        <v>11.48443816540966</v>
      </c>
      <c r="D30" s="203">
        <f t="shared" si="36"/>
        <v>13.479579787365481</v>
      </c>
      <c r="E30" s="203">
        <f t="shared" si="36"/>
        <v>23.805966033806047</v>
      </c>
      <c r="F30" s="203">
        <f t="shared" si="36"/>
        <v>15.921468999184249</v>
      </c>
      <c r="G30" s="203"/>
      <c r="H30" s="203"/>
      <c r="I30" s="260">
        <f t="shared" si="21"/>
        <v>8.2025293746111068</v>
      </c>
      <c r="J30" s="203">
        <v>8.1044311458601701</v>
      </c>
      <c r="K30" s="203">
        <f t="shared" si="5"/>
        <v>10.528879921947295</v>
      </c>
      <c r="L30" s="203">
        <f t="shared" si="6"/>
        <v>12.358016555563596</v>
      </c>
      <c r="M30" s="203">
        <f t="shared" si="7"/>
        <v>21.825199821340924</v>
      </c>
      <c r="N30" s="203">
        <f t="shared" si="8"/>
        <v>14.59672931831556</v>
      </c>
      <c r="Q30" s="208">
        <f t="shared" si="37"/>
        <v>536.94312123906263</v>
      </c>
      <c r="R30" s="209"/>
      <c r="U30" s="22">
        <v>2045</v>
      </c>
      <c r="V30" s="186">
        <f t="shared" si="38"/>
        <v>170073.41321591931</v>
      </c>
      <c r="W30" s="186">
        <f t="shared" si="39"/>
        <v>174946.74654925274</v>
      </c>
      <c r="X30" s="186">
        <f t="shared" si="40"/>
        <v>274171.74654925265</v>
      </c>
      <c r="Y30" s="186">
        <f t="shared" si="39"/>
        <v>210941.74654925268</v>
      </c>
      <c r="Z30" s="203"/>
      <c r="AA30" s="203"/>
      <c r="AB30" s="202"/>
      <c r="AC30" s="186">
        <f t="shared" si="31"/>
        <v>163848.29249390995</v>
      </c>
      <c r="AD30" s="186">
        <f t="shared" si="32"/>
        <v>6788.5091046952857</v>
      </c>
      <c r="AE30" s="186">
        <f t="shared" si="33"/>
        <v>11413.470916358103</v>
      </c>
      <c r="AF30" s="186">
        <f t="shared" si="34"/>
        <v>88497.117799883708</v>
      </c>
      <c r="AG30" s="186">
        <f t="shared" si="35"/>
        <v>40118.960363418861</v>
      </c>
      <c r="AJ30" s="212">
        <f t="shared" si="10"/>
        <v>2.3892747953440128</v>
      </c>
      <c r="AK30" s="212">
        <f t="shared" si="1"/>
        <v>2.687409749960425</v>
      </c>
      <c r="AL30" s="212">
        <f t="shared" si="2"/>
        <v>11.408576259968722</v>
      </c>
      <c r="AM30" s="212">
        <f t="shared" si="3"/>
        <v>7.3102007608644879</v>
      </c>
    </row>
    <row r="31" spans="1:39" x14ac:dyDescent="0.2">
      <c r="A31" s="22">
        <v>2046</v>
      </c>
      <c r="B31" s="203">
        <f t="shared" si="18"/>
        <v>8.3326465843773381</v>
      </c>
      <c r="C31" s="203">
        <f t="shared" si="36"/>
        <v>11.658881337371234</v>
      </c>
      <c r="D31" s="203">
        <f t="shared" si="36"/>
        <v>13.773299851778557</v>
      </c>
      <c r="E31" s="203">
        <f t="shared" si="36"/>
        <v>24.345616795636232</v>
      </c>
      <c r="F31" s="203">
        <f t="shared" si="36"/>
        <v>16.312889012644757</v>
      </c>
      <c r="G31" s="203"/>
      <c r="H31" s="203"/>
      <c r="I31" s="260">
        <f t="shared" si="21"/>
        <v>8.2025293746111068</v>
      </c>
      <c r="J31" s="203">
        <v>8.1044333679487188</v>
      </c>
      <c r="K31" s="203">
        <f t="shared" si="5"/>
        <v>10.688808617137539</v>
      </c>
      <c r="L31" s="203">
        <f t="shared" si="6"/>
        <v>12.627297755421194</v>
      </c>
      <c r="M31" s="203">
        <f t="shared" si="7"/>
        <v>22.319949149889784</v>
      </c>
      <c r="N31" s="203">
        <f t="shared" si="8"/>
        <v>14.955581380681611</v>
      </c>
      <c r="Q31" s="208">
        <f t="shared" si="37"/>
        <v>538.76683756346654</v>
      </c>
      <c r="R31" s="209"/>
      <c r="U31" s="22">
        <v>2046</v>
      </c>
      <c r="V31" s="186">
        <f t="shared" si="38"/>
        <v>170412.90649078513</v>
      </c>
      <c r="W31" s="186">
        <f t="shared" si="39"/>
        <v>175136.5731574519</v>
      </c>
      <c r="X31" s="186">
        <f t="shared" si="40"/>
        <v>261019.3731574518</v>
      </c>
      <c r="Y31" s="186">
        <f t="shared" si="39"/>
        <v>206738.97315745184</v>
      </c>
      <c r="Z31" s="203"/>
      <c r="AA31" s="203"/>
      <c r="AB31" s="202"/>
      <c r="AC31" s="186">
        <f t="shared" si="31"/>
        <v>163848.29249390995</v>
      </c>
      <c r="AD31" s="186">
        <f t="shared" si="32"/>
        <v>7168.6716749211255</v>
      </c>
      <c r="AE31" s="186">
        <f t="shared" si="33"/>
        <v>11626.037634502272</v>
      </c>
      <c r="AF31" s="186">
        <f t="shared" si="34"/>
        <v>73769.167518178583</v>
      </c>
      <c r="AG31" s="186">
        <f t="shared" si="35"/>
        <v>35412.719465612288</v>
      </c>
      <c r="AJ31" s="212">
        <f t="shared" si="10"/>
        <v>2.4028965514866973</v>
      </c>
      <c r="AK31" s="212">
        <f t="shared" si="1"/>
        <v>2.6305783147699509</v>
      </c>
      <c r="AL31" s="212">
        <f t="shared" si="2"/>
        <v>9.3870280904251331</v>
      </c>
      <c r="AM31" s="212">
        <f t="shared" si="3"/>
        <v>6.2650116833835297</v>
      </c>
    </row>
    <row r="32" spans="1:39" x14ac:dyDescent="0.2">
      <c r="A32" s="22">
        <v>2047</v>
      </c>
      <c r="B32" s="203">
        <f t="shared" si="18"/>
        <v>8.3326465843773381</v>
      </c>
      <c r="C32" s="203">
        <f t="shared" si="36"/>
        <v>11.782021291740154</v>
      </c>
      <c r="D32" s="203">
        <f t="shared" si="36"/>
        <v>13.98063771959163</v>
      </c>
      <c r="E32" s="203">
        <f t="shared" si="36"/>
        <v>24.726557874840861</v>
      </c>
      <c r="F32" s="203">
        <f t="shared" si="36"/>
        <v>16.589193565322951</v>
      </c>
      <c r="G32" s="203"/>
      <c r="H32" s="203"/>
      <c r="I32" s="260">
        <f t="shared" si="21"/>
        <v>8.2025293746111068</v>
      </c>
      <c r="J32" s="203">
        <v>8.1044320169487083</v>
      </c>
      <c r="K32" s="203">
        <f t="shared" si="5"/>
        <v>10.801702759146982</v>
      </c>
      <c r="L32" s="203">
        <f t="shared" si="6"/>
        <v>12.817384155995111</v>
      </c>
      <c r="M32" s="203">
        <f t="shared" si="7"/>
        <v>22.66919417367885</v>
      </c>
      <c r="N32" s="203">
        <f t="shared" si="8"/>
        <v>15.208896119734176</v>
      </c>
      <c r="Q32" s="208">
        <f t="shared" si="37"/>
        <v>540.59055388787044</v>
      </c>
      <c r="R32" s="209"/>
      <c r="U32" s="22">
        <v>2047</v>
      </c>
      <c r="V32" s="186">
        <f t="shared" si="38"/>
        <v>170752.39976565095</v>
      </c>
      <c r="W32" s="186">
        <f t="shared" si="39"/>
        <v>175326.39976565106</v>
      </c>
      <c r="X32" s="186">
        <f t="shared" si="40"/>
        <v>247866.99976565095</v>
      </c>
      <c r="Y32" s="186">
        <f t="shared" si="39"/>
        <v>202536.19976565099</v>
      </c>
      <c r="Z32" s="203"/>
      <c r="AA32" s="203"/>
      <c r="AB32" s="202"/>
      <c r="AC32" s="186">
        <f t="shared" si="31"/>
        <v>163848.29249390995</v>
      </c>
      <c r="AD32" s="186">
        <f t="shared" si="32"/>
        <v>7437.0295649088948</v>
      </c>
      <c r="AE32" s="186">
        <f t="shared" si="33"/>
        <v>11776.089113607397</v>
      </c>
      <c r="AF32" s="186">
        <f t="shared" si="34"/>
        <v>63372.663572260994</v>
      </c>
      <c r="AG32" s="186">
        <f t="shared" si="35"/>
        <v>32090.570006344853</v>
      </c>
      <c r="AJ32" s="212">
        <f t="shared" si="10"/>
        <v>2.4137360244524659</v>
      </c>
      <c r="AK32" s="212">
        <f t="shared" si="1"/>
        <v>2.5955538197661987</v>
      </c>
      <c r="AL32" s="212">
        <f t="shared" si="2"/>
        <v>7.9938727391534687</v>
      </c>
      <c r="AM32" s="212">
        <f t="shared" si="3"/>
        <v>5.5675789506939948</v>
      </c>
    </row>
    <row r="33" spans="1:39" x14ac:dyDescent="0.2">
      <c r="A33" s="22">
        <v>2048</v>
      </c>
      <c r="B33" s="203">
        <f t="shared" si="18"/>
        <v>8.3326465843773381</v>
      </c>
      <c r="C33" s="203">
        <f t="shared" si="36"/>
        <v>11.864420688033807</v>
      </c>
      <c r="D33" s="203">
        <f t="shared" si="36"/>
        <v>14.119378351940952</v>
      </c>
      <c r="E33" s="203">
        <f t="shared" si="36"/>
        <v>24.981465513151932</v>
      </c>
      <c r="F33" s="203">
        <f t="shared" si="36"/>
        <v>16.774083420533245</v>
      </c>
      <c r="G33" s="203"/>
      <c r="H33" s="203"/>
      <c r="I33" s="260">
        <f t="shared" si="21"/>
        <v>8.2025293746111068</v>
      </c>
      <c r="J33" s="203">
        <v>8.1044267226986744</v>
      </c>
      <c r="K33" s="203">
        <f t="shared" si="5"/>
        <v>10.877246145486064</v>
      </c>
      <c r="L33" s="203">
        <f t="shared" si="6"/>
        <v>12.944580927596949</v>
      </c>
      <c r="M33" s="203">
        <f t="shared" si="7"/>
        <v>22.902892320362959</v>
      </c>
      <c r="N33" s="203">
        <f t="shared" si="8"/>
        <v>15.378402285926851</v>
      </c>
      <c r="Q33" s="208">
        <f t="shared" si="37"/>
        <v>542.41427021227435</v>
      </c>
      <c r="R33" s="209"/>
      <c r="U33" s="22">
        <v>2048</v>
      </c>
      <c r="V33" s="186">
        <f t="shared" si="38"/>
        <v>171091.89304051676</v>
      </c>
      <c r="W33" s="186">
        <f t="shared" si="39"/>
        <v>175516.22637385022</v>
      </c>
      <c r="X33" s="186">
        <f t="shared" si="40"/>
        <v>234714.6263738501</v>
      </c>
      <c r="Y33" s="186">
        <f t="shared" si="39"/>
        <v>198333.42637385015</v>
      </c>
      <c r="Z33" s="203"/>
      <c r="AA33" s="203"/>
      <c r="AB33" s="202"/>
      <c r="AC33" s="186">
        <f t="shared" si="31"/>
        <v>163848.29249390995</v>
      </c>
      <c r="AD33" s="186">
        <f t="shared" si="32"/>
        <v>7616.6018916890653</v>
      </c>
      <c r="AE33" s="186">
        <f t="shared" si="33"/>
        <v>11876.496421329713</v>
      </c>
      <c r="AF33" s="186">
        <f t="shared" si="34"/>
        <v>56415.81798060445</v>
      </c>
      <c r="AG33" s="186">
        <f t="shared" si="35"/>
        <v>29867.545714644868</v>
      </c>
      <c r="AJ33" s="212">
        <f t="shared" si="10"/>
        <v>2.4214802160287898</v>
      </c>
      <c r="AK33" s="212">
        <f t="shared" si="1"/>
        <v>2.5741831241139534</v>
      </c>
      <c r="AL33" s="212">
        <f t="shared" si="2"/>
        <v>7.0761467870549337</v>
      </c>
      <c r="AM33" s="212">
        <f t="shared" si="3"/>
        <v>5.1175396563315205</v>
      </c>
    </row>
    <row r="34" spans="1:39" x14ac:dyDescent="0.2">
      <c r="A34" s="22">
        <v>2049</v>
      </c>
      <c r="B34" s="203">
        <f t="shared" si="18"/>
        <v>8.3326465843773381</v>
      </c>
      <c r="C34" s="203">
        <f t="shared" si="36"/>
        <v>11.917603927420359</v>
      </c>
      <c r="D34" s="203">
        <f t="shared" si="36"/>
        <v>14.208926050040336</v>
      </c>
      <c r="E34" s="203">
        <f t="shared" si="36"/>
        <v>25.145991159692407</v>
      </c>
      <c r="F34" s="203">
        <f t="shared" si="36"/>
        <v>16.893417321897651</v>
      </c>
      <c r="G34" s="203"/>
      <c r="H34" s="203"/>
      <c r="I34" s="260">
        <f t="shared" si="21"/>
        <v>8.2025293746111068</v>
      </c>
      <c r="J34" s="203">
        <v>8.1044227545263041</v>
      </c>
      <c r="K34" s="203">
        <f t="shared" si="5"/>
        <v>10.92600429397327</v>
      </c>
      <c r="L34" s="203">
        <f t="shared" si="6"/>
        <v>13.02667784404994</v>
      </c>
      <c r="M34" s="203">
        <f t="shared" si="7"/>
        <v>23.053728674005654</v>
      </c>
      <c r="N34" s="203">
        <f t="shared" si="8"/>
        <v>15.48780705610252</v>
      </c>
      <c r="Q34" s="208">
        <f t="shared" si="37"/>
        <v>544.23798653667825</v>
      </c>
      <c r="R34" s="209"/>
      <c r="U34" s="22">
        <v>2049</v>
      </c>
      <c r="V34" s="186">
        <f t="shared" si="38"/>
        <v>171431.38631538258</v>
      </c>
      <c r="W34" s="186">
        <f t="shared" si="39"/>
        <v>175706.05298204938</v>
      </c>
      <c r="X34" s="186">
        <f t="shared" si="40"/>
        <v>221562.25298204925</v>
      </c>
      <c r="Y34" s="186">
        <f t="shared" si="39"/>
        <v>194130.6529820493</v>
      </c>
      <c r="Z34" s="203"/>
      <c r="AA34" s="203"/>
      <c r="AB34" s="202"/>
      <c r="AC34" s="186">
        <f t="shared" si="31"/>
        <v>163848.29249390995</v>
      </c>
      <c r="AD34" s="186">
        <f t="shared" si="32"/>
        <v>7732.5036879633344</v>
      </c>
      <c r="AE34" s="186">
        <f t="shared" si="33"/>
        <v>11941.302550050905</v>
      </c>
      <c r="AF34" s="186">
        <f t="shared" si="34"/>
        <v>51925.644494893641</v>
      </c>
      <c r="AG34" s="186">
        <f t="shared" si="35"/>
        <v>28432.733830268277</v>
      </c>
      <c r="AJ34" s="212">
        <f t="shared" si="10"/>
        <v>2.4266714723854164</v>
      </c>
      <c r="AK34" s="212">
        <f t="shared" si="1"/>
        <v>2.5611991289916554</v>
      </c>
      <c r="AL34" s="212">
        <f t="shared" si="2"/>
        <v>6.4896926781810667</v>
      </c>
      <c r="AM34" s="212">
        <f t="shared" si="3"/>
        <v>4.8336495788086591</v>
      </c>
    </row>
    <row r="35" spans="1:39" x14ac:dyDescent="0.2">
      <c r="A35" s="200">
        <v>2050</v>
      </c>
      <c r="B35" s="201">
        <f t="shared" si="18"/>
        <v>8.3326465843773381</v>
      </c>
      <c r="C35" s="201">
        <f>C$3*'Class 8 Sleeper Cab'!$G78</f>
        <v>12.004826487691137</v>
      </c>
      <c r="D35" s="201">
        <f>D$3*'Class 8 Sleeper Cab'!$Q78</f>
        <v>14.355787722715318</v>
      </c>
      <c r="E35" s="201">
        <f>E$3*'Class 8 Sleeper Cab'!$L78</f>
        <v>25.415819554633959</v>
      </c>
      <c r="F35" s="201">
        <f>F$3*'Class 8 Sleeper Cab'!$V78</f>
        <v>17.089129514764497</v>
      </c>
      <c r="G35" s="201"/>
      <c r="H35" s="201"/>
      <c r="I35" s="260">
        <f t="shared" si="21"/>
        <v>8.2025293746111068</v>
      </c>
      <c r="J35" s="203">
        <v>8.1044081378346959</v>
      </c>
      <c r="K35" s="203">
        <f t="shared" si="5"/>
        <v>11.00596953479296</v>
      </c>
      <c r="L35" s="203">
        <f t="shared" si="6"/>
        <v>13.16131994795264</v>
      </c>
      <c r="M35" s="203">
        <f t="shared" si="7"/>
        <v>23.30110610152564</v>
      </c>
      <c r="N35" s="203">
        <f t="shared" si="8"/>
        <v>15.667235091525489</v>
      </c>
      <c r="Q35" s="204">
        <f>'Class 8 Sleeper Cab'!L73</f>
        <v>546.06170286108238</v>
      </c>
      <c r="R35" s="205"/>
      <c r="S35" s="200"/>
      <c r="U35" s="200">
        <v>2050</v>
      </c>
      <c r="V35" s="206">
        <f>'Class 8 Sleeper Cab'!G$83</f>
        <v>171770.87959024837</v>
      </c>
      <c r="W35" s="206">
        <f>'Class 8 Sleeper Cab'!$Q$83</f>
        <v>175895.87959024837</v>
      </c>
      <c r="X35" s="206">
        <f>'Class 8 Sleeper Cab'!$L$83</f>
        <v>208409.87959024837</v>
      </c>
      <c r="Y35" s="206">
        <f>'Class 8 Sleeper Cab'!$V$83</f>
        <v>189927.87959024837</v>
      </c>
      <c r="Z35" s="201"/>
      <c r="AA35" s="201"/>
      <c r="AB35" s="202"/>
      <c r="AC35" s="221">
        <f t="shared" si="14"/>
        <v>163848.29249390995</v>
      </c>
      <c r="AD35" s="206">
        <f t="shared" ref="AD35" si="41">V35-$AC35</f>
        <v>7922.5870963384223</v>
      </c>
      <c r="AE35" s="206">
        <f>W35-$AC35</f>
        <v>12047.587096338422</v>
      </c>
      <c r="AF35" s="206">
        <f t="shared" ref="AF35" si="42">X35-$AC35</f>
        <v>44561.587096338422</v>
      </c>
      <c r="AG35" s="206">
        <f t="shared" ref="AG35" si="43">Y35-$AC35</f>
        <v>26079.587096338422</v>
      </c>
      <c r="AH35" s="200"/>
      <c r="AJ35" s="212">
        <f t="shared" si="10"/>
        <v>2.4354816844801253</v>
      </c>
      <c r="AK35" s="212">
        <f t="shared" si="1"/>
        <v>2.5411800994387788</v>
      </c>
      <c r="AL35" s="212">
        <f t="shared" si="2"/>
        <v>5.5374428836144389</v>
      </c>
      <c r="AM35" s="212">
        <f t="shared" si="3"/>
        <v>4.3785489773753099</v>
      </c>
    </row>
    <row r="37" spans="1:39" x14ac:dyDescent="0.2">
      <c r="C37" s="22">
        <f>C35/$J$35</f>
        <v>1.4812712148155138</v>
      </c>
      <c r="D37" s="22">
        <f>D35/$J$35</f>
        <v>1.7713554745221458</v>
      </c>
      <c r="E37" s="22">
        <f>E35/$J$35</f>
        <v>3.136048817184133</v>
      </c>
      <c r="K37" s="22">
        <f>K35/$J$35</f>
        <v>1.3580226152990231</v>
      </c>
      <c r="L37" s="22">
        <f>L35/$J$35</f>
        <v>1.6239705261770083</v>
      </c>
      <c r="M37" s="22">
        <f>M35/$J$35</f>
        <v>2.8751150861648411</v>
      </c>
    </row>
    <row r="38" spans="1:39" ht="15" thickBot="1" x14ac:dyDescent="0.25"/>
    <row r="39" spans="1:39" x14ac:dyDescent="0.2">
      <c r="A39" s="22" t="s">
        <v>200</v>
      </c>
      <c r="B39" s="22" t="s">
        <v>203</v>
      </c>
      <c r="C39" s="213">
        <v>1.3</v>
      </c>
      <c r="D39" s="22" t="s">
        <v>224</v>
      </c>
    </row>
    <row r="40" spans="1:39" x14ac:dyDescent="0.2">
      <c r="C40" s="214">
        <v>1.2</v>
      </c>
      <c r="D40" s="22" t="s">
        <v>225</v>
      </c>
    </row>
    <row r="41" spans="1:39" ht="15" thickBot="1" x14ac:dyDescent="0.25">
      <c r="C41" s="215">
        <v>2</v>
      </c>
      <c r="D41" s="216" t="s">
        <v>226</v>
      </c>
    </row>
    <row r="42" spans="1:39" x14ac:dyDescent="0.2">
      <c r="B42" s="22" t="s">
        <v>202</v>
      </c>
      <c r="C42" s="213">
        <v>0.5</v>
      </c>
      <c r="D42" s="22" t="s">
        <v>224</v>
      </c>
    </row>
    <row r="43" spans="1:39" x14ac:dyDescent="0.2">
      <c r="C43" s="214">
        <v>0.3</v>
      </c>
      <c r="D43" s="22" t="s">
        <v>225</v>
      </c>
    </row>
    <row r="44" spans="1:39" ht="15" thickBot="1" x14ac:dyDescent="0.25">
      <c r="C44" s="215">
        <v>0.5</v>
      </c>
      <c r="D44" s="22" t="s">
        <v>226</v>
      </c>
    </row>
    <row r="57" spans="2:31" ht="15" thickBot="1" x14ac:dyDescent="0.25">
      <c r="B57" s="253" t="s">
        <v>318</v>
      </c>
      <c r="I57" s="22"/>
      <c r="J57" s="257"/>
      <c r="AB57" s="22"/>
      <c r="AC57" s="191"/>
    </row>
    <row r="58" spans="2:31" ht="17" thickBot="1" x14ac:dyDescent="0.25">
      <c r="B58" s="280"/>
      <c r="C58" s="378" t="s">
        <v>305</v>
      </c>
      <c r="D58" s="379"/>
      <c r="E58" s="379"/>
      <c r="F58" s="379"/>
      <c r="G58" s="379"/>
      <c r="H58" s="379"/>
      <c r="I58" s="379" t="s">
        <v>306</v>
      </c>
      <c r="J58" s="379"/>
      <c r="K58" s="379"/>
      <c r="L58" s="379"/>
      <c r="M58" s="380"/>
      <c r="N58" s="381" t="s">
        <v>307</v>
      </c>
      <c r="O58" s="382"/>
      <c r="P58" s="382"/>
      <c r="Q58" s="382"/>
      <c r="R58" s="382"/>
      <c r="S58" s="383"/>
      <c r="T58" s="381" t="s">
        <v>308</v>
      </c>
      <c r="U58" s="382"/>
      <c r="V58" s="382"/>
      <c r="W58" s="382"/>
      <c r="X58" s="382"/>
      <c r="Y58" s="383"/>
      <c r="Z58" s="381" t="s">
        <v>309</v>
      </c>
      <c r="AA58" s="382"/>
      <c r="AB58" s="382"/>
      <c r="AC58" s="382"/>
      <c r="AD58" s="382"/>
      <c r="AE58" s="383"/>
    </row>
    <row r="59" spans="2:31" ht="15" thickBot="1" x14ac:dyDescent="0.25">
      <c r="B59" s="281" t="s">
        <v>310</v>
      </c>
      <c r="C59" s="282" t="s">
        <v>311</v>
      </c>
      <c r="D59" s="283" t="s">
        <v>312</v>
      </c>
      <c r="E59" s="284" t="s">
        <v>313</v>
      </c>
      <c r="F59" s="283" t="s">
        <v>314</v>
      </c>
      <c r="G59" s="284" t="s">
        <v>315</v>
      </c>
      <c r="H59" s="283" t="s">
        <v>316</v>
      </c>
      <c r="I59" s="283" t="s">
        <v>312</v>
      </c>
      <c r="J59" s="284" t="s">
        <v>313</v>
      </c>
      <c r="K59" s="283" t="s">
        <v>314</v>
      </c>
      <c r="L59" s="284" t="s">
        <v>315</v>
      </c>
      <c r="M59" s="285" t="s">
        <v>316</v>
      </c>
      <c r="N59" s="286" t="s">
        <v>311</v>
      </c>
      <c r="O59" s="287" t="s">
        <v>312</v>
      </c>
      <c r="P59" s="288" t="s">
        <v>313</v>
      </c>
      <c r="Q59" s="287" t="s">
        <v>314</v>
      </c>
      <c r="R59" s="288" t="s">
        <v>315</v>
      </c>
      <c r="S59" s="289" t="s">
        <v>316</v>
      </c>
      <c r="T59" s="290" t="s">
        <v>311</v>
      </c>
      <c r="U59" s="287" t="s">
        <v>312</v>
      </c>
      <c r="V59" s="288" t="s">
        <v>313</v>
      </c>
      <c r="W59" s="287" t="s">
        <v>314</v>
      </c>
      <c r="X59" s="288" t="s">
        <v>315</v>
      </c>
      <c r="Y59" s="289" t="s">
        <v>316</v>
      </c>
      <c r="Z59" s="287" t="s">
        <v>311</v>
      </c>
      <c r="AA59" s="287" t="s">
        <v>312</v>
      </c>
      <c r="AB59" s="288" t="s">
        <v>313</v>
      </c>
      <c r="AC59" s="287" t="s">
        <v>314</v>
      </c>
      <c r="AD59" s="288" t="s">
        <v>315</v>
      </c>
      <c r="AE59" s="289" t="s">
        <v>316</v>
      </c>
    </row>
    <row r="60" spans="2:31" ht="15" thickBot="1" x14ac:dyDescent="0.25">
      <c r="B60" s="291" t="s">
        <v>317</v>
      </c>
      <c r="C60" s="292"/>
      <c r="D60" s="293" t="str">
        <f>K4</f>
        <v>Adv Conv</v>
      </c>
      <c r="E60" s="293" t="str">
        <f t="shared" ref="E60:H60" si="44">L4</f>
        <v>HEV</v>
      </c>
      <c r="F60" s="293" t="str">
        <f t="shared" si="44"/>
        <v>BEV</v>
      </c>
      <c r="G60" s="293" t="str">
        <f t="shared" si="44"/>
        <v>FCEV</v>
      </c>
      <c r="H60" s="294" t="str">
        <f t="shared" si="44"/>
        <v>PHEV</v>
      </c>
      <c r="I60" s="295">
        <v>0</v>
      </c>
      <c r="J60" s="296">
        <v>0</v>
      </c>
      <c r="K60" s="296">
        <v>0</v>
      </c>
      <c r="L60" s="296">
        <v>0</v>
      </c>
      <c r="M60" s="297">
        <v>0</v>
      </c>
      <c r="N60" s="298"/>
      <c r="O60" s="293" t="str">
        <f>D60</f>
        <v>Adv Conv</v>
      </c>
      <c r="P60" s="293" t="str">
        <f t="shared" ref="P60:S60" si="45">E60</f>
        <v>HEV</v>
      </c>
      <c r="Q60" s="293" t="str">
        <f t="shared" si="45"/>
        <v>BEV</v>
      </c>
      <c r="R60" s="293" t="str">
        <f t="shared" si="45"/>
        <v>FCEV</v>
      </c>
      <c r="S60" s="294" t="str">
        <f t="shared" si="45"/>
        <v>PHEV</v>
      </c>
      <c r="T60" s="299"/>
      <c r="U60" s="293" t="str">
        <f>O60</f>
        <v>Adv Conv</v>
      </c>
      <c r="V60" s="293" t="str">
        <f t="shared" ref="V60:Y60" si="46">P60</f>
        <v>HEV</v>
      </c>
      <c r="W60" s="293" t="str">
        <f t="shared" si="46"/>
        <v>BEV</v>
      </c>
      <c r="X60" s="293" t="str">
        <f t="shared" si="46"/>
        <v>FCEV</v>
      </c>
      <c r="Y60" s="294" t="str">
        <f t="shared" si="46"/>
        <v>PHEV</v>
      </c>
      <c r="Z60" s="298"/>
      <c r="AA60" s="293" t="str">
        <f t="shared" ref="AA60:AE60" si="47">U60</f>
        <v>Adv Conv</v>
      </c>
      <c r="AB60" s="293" t="str">
        <f t="shared" si="47"/>
        <v>HEV</v>
      </c>
      <c r="AC60" s="293" t="str">
        <f t="shared" si="47"/>
        <v>BEV</v>
      </c>
      <c r="AD60" s="293" t="str">
        <f t="shared" si="47"/>
        <v>FCEV</v>
      </c>
      <c r="AE60" s="294" t="str">
        <f t="shared" si="47"/>
        <v>PHEV</v>
      </c>
    </row>
    <row r="61" spans="2:31" x14ac:dyDescent="0.2">
      <c r="B61" s="300">
        <v>2007</v>
      </c>
      <c r="C61" s="301">
        <f t="shared" ref="C61:C73" si="48">C62</f>
        <v>151412</v>
      </c>
      <c r="D61" s="302">
        <v>1000000</v>
      </c>
      <c r="E61" s="302">
        <v>1000000</v>
      </c>
      <c r="F61" s="302">
        <v>1000000</v>
      </c>
      <c r="G61" s="302">
        <v>1000000</v>
      </c>
      <c r="H61" s="303">
        <v>1000000</v>
      </c>
      <c r="I61" s="304">
        <f>D61*I60</f>
        <v>0</v>
      </c>
      <c r="J61" s="305">
        <f>E61*J60</f>
        <v>0</v>
      </c>
      <c r="K61" s="305">
        <f>F61*K60</f>
        <v>0</v>
      </c>
      <c r="L61" s="305">
        <f>G61*L60</f>
        <v>0</v>
      </c>
      <c r="M61" s="306">
        <f>H61*M60</f>
        <v>0</v>
      </c>
      <c r="N61" s="307">
        <v>5.9278738513698928</v>
      </c>
      <c r="O61" s="308">
        <v>1</v>
      </c>
      <c r="P61" s="308">
        <v>1</v>
      </c>
      <c r="Q61" s="308">
        <v>1</v>
      </c>
      <c r="R61" s="308">
        <v>1</v>
      </c>
      <c r="S61" s="309">
        <v>1</v>
      </c>
      <c r="T61" s="310">
        <v>1</v>
      </c>
      <c r="U61" s="311">
        <v>1</v>
      </c>
      <c r="V61" s="311">
        <v>1</v>
      </c>
      <c r="W61" s="311">
        <v>1</v>
      </c>
      <c r="X61" s="311">
        <v>1</v>
      </c>
      <c r="Y61" s="312">
        <v>1</v>
      </c>
      <c r="Z61" s="310">
        <v>0</v>
      </c>
      <c r="AA61" s="311">
        <v>0</v>
      </c>
      <c r="AB61" s="311">
        <v>0</v>
      </c>
      <c r="AC61" s="311">
        <v>0</v>
      </c>
      <c r="AD61" s="311">
        <v>0</v>
      </c>
      <c r="AE61" s="312">
        <v>0</v>
      </c>
    </row>
    <row r="62" spans="2:31" x14ac:dyDescent="0.2">
      <c r="B62" s="313">
        <v>2008</v>
      </c>
      <c r="C62" s="314">
        <f t="shared" si="48"/>
        <v>151412</v>
      </c>
      <c r="D62" s="315">
        <v>1000000</v>
      </c>
      <c r="E62" s="315">
        <v>1000000</v>
      </c>
      <c r="F62" s="315">
        <v>1000000</v>
      </c>
      <c r="G62" s="315">
        <v>1000000</v>
      </c>
      <c r="H62" s="316">
        <v>1000000</v>
      </c>
      <c r="I62" s="317">
        <f>D62*I60</f>
        <v>0</v>
      </c>
      <c r="J62" s="318">
        <f>E62*J60</f>
        <v>0</v>
      </c>
      <c r="K62" s="318">
        <f>F62*K60</f>
        <v>0</v>
      </c>
      <c r="L62" s="318">
        <f>G62*L60</f>
        <v>0</v>
      </c>
      <c r="M62" s="319">
        <f>H62*M60</f>
        <v>0</v>
      </c>
      <c r="N62" s="320">
        <v>5.9278738513698928</v>
      </c>
      <c r="O62" s="321">
        <v>1</v>
      </c>
      <c r="P62" s="321">
        <v>1</v>
      </c>
      <c r="Q62" s="321">
        <v>1</v>
      </c>
      <c r="R62" s="321">
        <v>1</v>
      </c>
      <c r="S62" s="322">
        <v>1</v>
      </c>
      <c r="T62" s="323">
        <v>1</v>
      </c>
      <c r="U62" s="324">
        <v>1</v>
      </c>
      <c r="V62" s="324">
        <v>1</v>
      </c>
      <c r="W62" s="324">
        <v>1</v>
      </c>
      <c r="X62" s="324">
        <v>1</v>
      </c>
      <c r="Y62" s="325">
        <v>1</v>
      </c>
      <c r="Z62" s="323">
        <v>0</v>
      </c>
      <c r="AA62" s="324">
        <v>0</v>
      </c>
      <c r="AB62" s="324">
        <v>0</v>
      </c>
      <c r="AC62" s="324">
        <v>0</v>
      </c>
      <c r="AD62" s="324">
        <v>0</v>
      </c>
      <c r="AE62" s="325">
        <v>0</v>
      </c>
    </row>
    <row r="63" spans="2:31" x14ac:dyDescent="0.2">
      <c r="B63" s="313">
        <v>2009</v>
      </c>
      <c r="C63" s="314">
        <f t="shared" si="48"/>
        <v>151412</v>
      </c>
      <c r="D63" s="315">
        <v>1000000</v>
      </c>
      <c r="E63" s="315">
        <v>1000000</v>
      </c>
      <c r="F63" s="315">
        <v>1000000</v>
      </c>
      <c r="G63" s="315">
        <v>1000000</v>
      </c>
      <c r="H63" s="316">
        <v>1000000</v>
      </c>
      <c r="I63" s="317">
        <f>D63*I60</f>
        <v>0</v>
      </c>
      <c r="J63" s="318">
        <f>E63*J60</f>
        <v>0</v>
      </c>
      <c r="K63" s="318">
        <f>F63*K60</f>
        <v>0</v>
      </c>
      <c r="L63" s="318">
        <f>G63*L60</f>
        <v>0</v>
      </c>
      <c r="M63" s="319">
        <f>H63*M60</f>
        <v>0</v>
      </c>
      <c r="N63" s="320">
        <v>5.9278738513698928</v>
      </c>
      <c r="O63" s="321">
        <v>1</v>
      </c>
      <c r="P63" s="321">
        <v>1</v>
      </c>
      <c r="Q63" s="321">
        <v>1</v>
      </c>
      <c r="R63" s="321">
        <v>1</v>
      </c>
      <c r="S63" s="322">
        <v>1</v>
      </c>
      <c r="T63" s="323">
        <v>1</v>
      </c>
      <c r="U63" s="324">
        <v>1</v>
      </c>
      <c r="V63" s="324">
        <v>1</v>
      </c>
      <c r="W63" s="324">
        <v>1</v>
      </c>
      <c r="X63" s="324">
        <v>1</v>
      </c>
      <c r="Y63" s="325">
        <v>1</v>
      </c>
      <c r="Z63" s="323">
        <v>0</v>
      </c>
      <c r="AA63" s="324">
        <v>0</v>
      </c>
      <c r="AB63" s="324">
        <v>0</v>
      </c>
      <c r="AC63" s="324">
        <v>0</v>
      </c>
      <c r="AD63" s="324">
        <v>0</v>
      </c>
      <c r="AE63" s="325">
        <v>0</v>
      </c>
    </row>
    <row r="64" spans="2:31" ht="15" thickBot="1" x14ac:dyDescent="0.25">
      <c r="B64" s="326">
        <v>2010</v>
      </c>
      <c r="C64" s="327">
        <f t="shared" si="48"/>
        <v>151412</v>
      </c>
      <c r="D64" s="328">
        <v>1000000</v>
      </c>
      <c r="E64" s="328">
        <v>1000000</v>
      </c>
      <c r="F64" s="328">
        <v>1000000</v>
      </c>
      <c r="G64" s="328">
        <v>1000000</v>
      </c>
      <c r="H64" s="329">
        <v>1000000</v>
      </c>
      <c r="I64" s="330">
        <f>D64*I60</f>
        <v>0</v>
      </c>
      <c r="J64" s="331">
        <f>E64*J60</f>
        <v>0</v>
      </c>
      <c r="K64" s="331">
        <f>F64*K60</f>
        <v>0</v>
      </c>
      <c r="L64" s="331">
        <f>G64*L60</f>
        <v>0</v>
      </c>
      <c r="M64" s="332">
        <f>H64*M60</f>
        <v>0</v>
      </c>
      <c r="N64" s="333">
        <v>5.6529804659012148</v>
      </c>
      <c r="O64" s="334">
        <v>1</v>
      </c>
      <c r="P64" s="334">
        <v>1</v>
      </c>
      <c r="Q64" s="334">
        <v>1</v>
      </c>
      <c r="R64" s="334">
        <v>1</v>
      </c>
      <c r="S64" s="335">
        <v>1</v>
      </c>
      <c r="T64" s="336">
        <v>1</v>
      </c>
      <c r="U64" s="337">
        <v>1</v>
      </c>
      <c r="V64" s="337">
        <v>1</v>
      </c>
      <c r="W64" s="337">
        <v>1</v>
      </c>
      <c r="X64" s="337">
        <v>1</v>
      </c>
      <c r="Y64" s="338">
        <v>1</v>
      </c>
      <c r="Z64" s="336">
        <v>0</v>
      </c>
      <c r="AA64" s="337">
        <v>0</v>
      </c>
      <c r="AB64" s="337">
        <v>0</v>
      </c>
      <c r="AC64" s="337">
        <v>0</v>
      </c>
      <c r="AD64" s="337">
        <v>0</v>
      </c>
      <c r="AE64" s="338">
        <v>0</v>
      </c>
    </row>
    <row r="65" spans="2:31" x14ac:dyDescent="0.2">
      <c r="B65" s="300">
        <v>2011</v>
      </c>
      <c r="C65" s="339">
        <f t="shared" si="48"/>
        <v>151412</v>
      </c>
      <c r="D65" s="340">
        <v>1000000</v>
      </c>
      <c r="E65" s="340">
        <v>1000000</v>
      </c>
      <c r="F65" s="340">
        <v>1000000</v>
      </c>
      <c r="G65" s="340">
        <v>1000000</v>
      </c>
      <c r="H65" s="341">
        <v>1000000</v>
      </c>
      <c r="I65" s="304">
        <f>D65*I60</f>
        <v>0</v>
      </c>
      <c r="J65" s="305">
        <f>E65*J60</f>
        <v>0</v>
      </c>
      <c r="K65" s="305">
        <f>F65*K60</f>
        <v>0</v>
      </c>
      <c r="L65" s="305">
        <f>G65*L60</f>
        <v>0</v>
      </c>
      <c r="M65" s="306">
        <f>H65*M60</f>
        <v>0</v>
      </c>
      <c r="N65" s="342">
        <v>5.7697883792198912</v>
      </c>
      <c r="O65" s="343">
        <v>1</v>
      </c>
      <c r="P65" s="343">
        <v>1</v>
      </c>
      <c r="Q65" s="343">
        <v>1</v>
      </c>
      <c r="R65" s="343">
        <v>1</v>
      </c>
      <c r="S65" s="344">
        <v>1</v>
      </c>
      <c r="T65" s="345">
        <v>1</v>
      </c>
      <c r="U65" s="346">
        <v>1</v>
      </c>
      <c r="V65" s="346">
        <v>1</v>
      </c>
      <c r="W65" s="346">
        <v>1</v>
      </c>
      <c r="X65" s="346">
        <v>1</v>
      </c>
      <c r="Y65" s="347">
        <v>1</v>
      </c>
      <c r="Z65" s="345">
        <v>0</v>
      </c>
      <c r="AA65" s="346">
        <v>0</v>
      </c>
      <c r="AB65" s="346">
        <v>0</v>
      </c>
      <c r="AC65" s="346">
        <v>0</v>
      </c>
      <c r="AD65" s="346">
        <v>0</v>
      </c>
      <c r="AE65" s="347">
        <v>0</v>
      </c>
    </row>
    <row r="66" spans="2:31" x14ac:dyDescent="0.2">
      <c r="B66" s="313">
        <v>2012</v>
      </c>
      <c r="C66" s="314">
        <f t="shared" si="48"/>
        <v>151412</v>
      </c>
      <c r="D66" s="315">
        <v>1000000</v>
      </c>
      <c r="E66" s="315">
        <v>1000000</v>
      </c>
      <c r="F66" s="315">
        <v>1000000</v>
      </c>
      <c r="G66" s="315">
        <v>1000000</v>
      </c>
      <c r="H66" s="316">
        <v>1000000</v>
      </c>
      <c r="I66" s="317">
        <f>D66*I60</f>
        <v>0</v>
      </c>
      <c r="J66" s="318">
        <f>E66*J60</f>
        <v>0</v>
      </c>
      <c r="K66" s="318">
        <f>F66*K60</f>
        <v>0</v>
      </c>
      <c r="L66" s="318">
        <f>G66*L60</f>
        <v>0</v>
      </c>
      <c r="M66" s="319">
        <f>H66*M60</f>
        <v>0</v>
      </c>
      <c r="N66" s="320">
        <v>5.8156338758937807</v>
      </c>
      <c r="O66" s="321">
        <v>1</v>
      </c>
      <c r="P66" s="321">
        <v>1</v>
      </c>
      <c r="Q66" s="321">
        <v>1</v>
      </c>
      <c r="R66" s="321">
        <v>1</v>
      </c>
      <c r="S66" s="322">
        <v>1</v>
      </c>
      <c r="T66" s="323">
        <v>1</v>
      </c>
      <c r="U66" s="324">
        <v>1</v>
      </c>
      <c r="V66" s="324">
        <v>1</v>
      </c>
      <c r="W66" s="324">
        <v>1</v>
      </c>
      <c r="X66" s="324">
        <v>1</v>
      </c>
      <c r="Y66" s="325">
        <v>1</v>
      </c>
      <c r="Z66" s="323">
        <v>0</v>
      </c>
      <c r="AA66" s="324">
        <v>0</v>
      </c>
      <c r="AB66" s="324">
        <v>0</v>
      </c>
      <c r="AC66" s="324">
        <v>0</v>
      </c>
      <c r="AD66" s="324">
        <v>0</v>
      </c>
      <c r="AE66" s="325">
        <v>0</v>
      </c>
    </row>
    <row r="67" spans="2:31" x14ac:dyDescent="0.2">
      <c r="B67" s="313">
        <v>2013</v>
      </c>
      <c r="C67" s="314">
        <f t="shared" si="48"/>
        <v>151412</v>
      </c>
      <c r="D67" s="315">
        <v>1000000</v>
      </c>
      <c r="E67" s="315">
        <v>1000000</v>
      </c>
      <c r="F67" s="315">
        <v>1000000</v>
      </c>
      <c r="G67" s="315">
        <v>1000000</v>
      </c>
      <c r="H67" s="316">
        <v>1000000</v>
      </c>
      <c r="I67" s="317">
        <f>D67*I60</f>
        <v>0</v>
      </c>
      <c r="J67" s="318">
        <f>E67*J60</f>
        <v>0</v>
      </c>
      <c r="K67" s="318">
        <f>F67*K60</f>
        <v>0</v>
      </c>
      <c r="L67" s="318">
        <f>G67*L60</f>
        <v>0</v>
      </c>
      <c r="M67" s="319">
        <f>H67*M60</f>
        <v>0</v>
      </c>
      <c r="N67" s="320">
        <v>5.9244625288706905</v>
      </c>
      <c r="O67" s="321">
        <v>1</v>
      </c>
      <c r="P67" s="321">
        <v>1</v>
      </c>
      <c r="Q67" s="321">
        <v>1</v>
      </c>
      <c r="R67" s="321">
        <v>1</v>
      </c>
      <c r="S67" s="322">
        <v>1</v>
      </c>
      <c r="T67" s="323">
        <v>1</v>
      </c>
      <c r="U67" s="324">
        <v>1</v>
      </c>
      <c r="V67" s="324">
        <v>1</v>
      </c>
      <c r="W67" s="324">
        <v>1</v>
      </c>
      <c r="X67" s="324">
        <v>1</v>
      </c>
      <c r="Y67" s="325">
        <v>1</v>
      </c>
      <c r="Z67" s="323">
        <v>0</v>
      </c>
      <c r="AA67" s="324">
        <v>0</v>
      </c>
      <c r="AB67" s="324">
        <v>0</v>
      </c>
      <c r="AC67" s="324">
        <v>0</v>
      </c>
      <c r="AD67" s="324">
        <v>0</v>
      </c>
      <c r="AE67" s="325">
        <v>0</v>
      </c>
    </row>
    <row r="68" spans="2:31" x14ac:dyDescent="0.2">
      <c r="B68" s="313">
        <v>2014</v>
      </c>
      <c r="C68" s="314">
        <f t="shared" si="48"/>
        <v>151412</v>
      </c>
      <c r="D68" s="315">
        <v>1000000</v>
      </c>
      <c r="E68" s="315">
        <v>1000000</v>
      </c>
      <c r="F68" s="315">
        <v>1000000</v>
      </c>
      <c r="G68" s="315">
        <v>1000000</v>
      </c>
      <c r="H68" s="316">
        <v>1000000</v>
      </c>
      <c r="I68" s="317">
        <f>D68*I60</f>
        <v>0</v>
      </c>
      <c r="J68" s="318">
        <f>E68*J60</f>
        <v>0</v>
      </c>
      <c r="K68" s="318">
        <f>F68*K60</f>
        <v>0</v>
      </c>
      <c r="L68" s="318">
        <f>G68*L60</f>
        <v>0</v>
      </c>
      <c r="M68" s="319">
        <f>H68*M60</f>
        <v>0</v>
      </c>
      <c r="N68" s="320">
        <v>6.0583595281689906</v>
      </c>
      <c r="O68" s="321">
        <v>1</v>
      </c>
      <c r="P68" s="321">
        <v>1</v>
      </c>
      <c r="Q68" s="321">
        <v>1</v>
      </c>
      <c r="R68" s="321">
        <v>1</v>
      </c>
      <c r="S68" s="322">
        <v>1</v>
      </c>
      <c r="T68" s="323">
        <v>1</v>
      </c>
      <c r="U68" s="324">
        <v>1</v>
      </c>
      <c r="V68" s="324">
        <v>1</v>
      </c>
      <c r="W68" s="324">
        <v>1</v>
      </c>
      <c r="X68" s="324">
        <v>1</v>
      </c>
      <c r="Y68" s="325">
        <v>1</v>
      </c>
      <c r="Z68" s="323">
        <v>0</v>
      </c>
      <c r="AA68" s="324">
        <v>0</v>
      </c>
      <c r="AB68" s="324">
        <v>0</v>
      </c>
      <c r="AC68" s="324">
        <v>0</v>
      </c>
      <c r="AD68" s="324">
        <v>0</v>
      </c>
      <c r="AE68" s="325">
        <v>0</v>
      </c>
    </row>
    <row r="69" spans="2:31" ht="15" thickBot="1" x14ac:dyDescent="0.25">
      <c r="B69" s="326">
        <v>2015</v>
      </c>
      <c r="C69" s="327">
        <f t="shared" si="48"/>
        <v>151412</v>
      </c>
      <c r="D69" s="328">
        <v>1000000</v>
      </c>
      <c r="E69" s="328">
        <v>1000000</v>
      </c>
      <c r="F69" s="328">
        <v>1000000</v>
      </c>
      <c r="G69" s="328">
        <v>1000000</v>
      </c>
      <c r="H69" s="329">
        <v>1000000</v>
      </c>
      <c r="I69" s="330">
        <f>D69*I60</f>
        <v>0</v>
      </c>
      <c r="J69" s="331">
        <f>E69*J60</f>
        <v>0</v>
      </c>
      <c r="K69" s="331">
        <f>F69*K60</f>
        <v>0</v>
      </c>
      <c r="L69" s="331">
        <f>G69*L60</f>
        <v>0</v>
      </c>
      <c r="M69" s="332">
        <f>H69*M60</f>
        <v>0</v>
      </c>
      <c r="N69" s="333">
        <v>6.1703756815216178</v>
      </c>
      <c r="O69" s="334">
        <v>1</v>
      </c>
      <c r="P69" s="334">
        <v>1</v>
      </c>
      <c r="Q69" s="348">
        <v>1</v>
      </c>
      <c r="R69" s="348">
        <v>1</v>
      </c>
      <c r="S69" s="349">
        <v>1</v>
      </c>
      <c r="T69" s="336">
        <v>1</v>
      </c>
      <c r="U69" s="337">
        <v>1</v>
      </c>
      <c r="V69" s="337">
        <v>1</v>
      </c>
      <c r="W69" s="337">
        <v>1</v>
      </c>
      <c r="X69" s="337">
        <v>1</v>
      </c>
      <c r="Y69" s="338">
        <v>1</v>
      </c>
      <c r="Z69" s="336">
        <v>0</v>
      </c>
      <c r="AA69" s="337">
        <v>0</v>
      </c>
      <c r="AB69" s="337">
        <v>0</v>
      </c>
      <c r="AC69" s="337">
        <v>0</v>
      </c>
      <c r="AD69" s="337">
        <v>0</v>
      </c>
      <c r="AE69" s="338">
        <v>0</v>
      </c>
    </row>
    <row r="70" spans="2:31" x14ac:dyDescent="0.2">
      <c r="B70" s="300">
        <v>2016</v>
      </c>
      <c r="C70" s="339">
        <f t="shared" si="48"/>
        <v>151412</v>
      </c>
      <c r="D70" s="340">
        <v>1000000</v>
      </c>
      <c r="E70" s="340">
        <v>1000000</v>
      </c>
      <c r="F70" s="340">
        <v>1000000</v>
      </c>
      <c r="G70" s="340">
        <v>1000000</v>
      </c>
      <c r="H70" s="341">
        <v>1000000</v>
      </c>
      <c r="I70" s="304">
        <f>D70*I60</f>
        <v>0</v>
      </c>
      <c r="J70" s="305">
        <f>E70*J60</f>
        <v>0</v>
      </c>
      <c r="K70" s="305">
        <f>F70*K60</f>
        <v>0</v>
      </c>
      <c r="L70" s="305">
        <f>G70*L60</f>
        <v>0</v>
      </c>
      <c r="M70" s="306">
        <f>H70*M60</f>
        <v>0</v>
      </c>
      <c r="N70" s="342">
        <v>6.2992037959414615</v>
      </c>
      <c r="O70" s="321">
        <v>1</v>
      </c>
      <c r="P70" s="321">
        <v>1</v>
      </c>
      <c r="Q70" s="350">
        <v>1</v>
      </c>
      <c r="R70" s="350">
        <v>1</v>
      </c>
      <c r="S70" s="351">
        <v>1</v>
      </c>
      <c r="T70" s="345">
        <v>1</v>
      </c>
      <c r="U70" s="346">
        <v>1</v>
      </c>
      <c r="V70" s="346">
        <v>1</v>
      </c>
      <c r="W70" s="346">
        <v>1</v>
      </c>
      <c r="X70" s="346">
        <v>1</v>
      </c>
      <c r="Y70" s="347">
        <v>1</v>
      </c>
      <c r="Z70" s="345">
        <v>0</v>
      </c>
      <c r="AA70" s="346">
        <v>0</v>
      </c>
      <c r="AB70" s="346">
        <v>0</v>
      </c>
      <c r="AC70" s="346">
        <v>0</v>
      </c>
      <c r="AD70" s="346">
        <v>0</v>
      </c>
      <c r="AE70" s="347">
        <v>0</v>
      </c>
    </row>
    <row r="71" spans="2:31" x14ac:dyDescent="0.2">
      <c r="B71" s="313">
        <v>2017</v>
      </c>
      <c r="C71" s="314">
        <f t="shared" si="48"/>
        <v>151412</v>
      </c>
      <c r="D71" s="315">
        <v>1000000</v>
      </c>
      <c r="E71" s="315">
        <v>1000000</v>
      </c>
      <c r="F71" s="315">
        <v>1000000</v>
      </c>
      <c r="G71" s="315">
        <v>1000000</v>
      </c>
      <c r="H71" s="316">
        <v>1000000</v>
      </c>
      <c r="I71" s="317">
        <f>D71*I60</f>
        <v>0</v>
      </c>
      <c r="J71" s="318">
        <f>E71*J60</f>
        <v>0</v>
      </c>
      <c r="K71" s="318">
        <f>F71*K60</f>
        <v>0</v>
      </c>
      <c r="L71" s="318">
        <f>G71*L60</f>
        <v>0</v>
      </c>
      <c r="M71" s="319">
        <f>H71*M60</f>
        <v>0</v>
      </c>
      <c r="N71" s="320">
        <v>6.429880170141046</v>
      </c>
      <c r="O71" s="321">
        <v>1</v>
      </c>
      <c r="P71" s="321">
        <v>1</v>
      </c>
      <c r="Q71" s="350">
        <v>1</v>
      </c>
      <c r="R71" s="350">
        <v>1</v>
      </c>
      <c r="S71" s="351">
        <v>1</v>
      </c>
      <c r="T71" s="323">
        <v>1</v>
      </c>
      <c r="U71" s="324">
        <v>1</v>
      </c>
      <c r="V71" s="324">
        <v>1</v>
      </c>
      <c r="W71" s="324">
        <v>1</v>
      </c>
      <c r="X71" s="324">
        <v>1</v>
      </c>
      <c r="Y71" s="325">
        <v>1</v>
      </c>
      <c r="Z71" s="323">
        <v>0</v>
      </c>
      <c r="AA71" s="324">
        <v>0</v>
      </c>
      <c r="AB71" s="324">
        <v>0</v>
      </c>
      <c r="AC71" s="324">
        <v>0</v>
      </c>
      <c r="AD71" s="324">
        <v>0</v>
      </c>
      <c r="AE71" s="325">
        <v>0</v>
      </c>
    </row>
    <row r="72" spans="2:31" x14ac:dyDescent="0.2">
      <c r="B72" s="313">
        <v>2018</v>
      </c>
      <c r="C72" s="314">
        <f t="shared" si="48"/>
        <v>151412</v>
      </c>
      <c r="D72" s="315">
        <v>1000000</v>
      </c>
      <c r="E72" s="315">
        <v>1000000</v>
      </c>
      <c r="F72" s="315">
        <v>1000000</v>
      </c>
      <c r="G72" s="315">
        <v>1000000</v>
      </c>
      <c r="H72" s="316">
        <v>1000000</v>
      </c>
      <c r="I72" s="317">
        <f>D72*I60</f>
        <v>0</v>
      </c>
      <c r="J72" s="318">
        <f>E72*J60</f>
        <v>0</v>
      </c>
      <c r="K72" s="318">
        <f>F72*K60</f>
        <v>0</v>
      </c>
      <c r="L72" s="318">
        <f>G72*L60</f>
        <v>0</v>
      </c>
      <c r="M72" s="319">
        <f>H72*M60</f>
        <v>0</v>
      </c>
      <c r="N72" s="320">
        <v>6.3927777584473002</v>
      </c>
      <c r="O72" s="321">
        <v>1</v>
      </c>
      <c r="P72" s="321">
        <v>1</v>
      </c>
      <c r="Q72" s="350">
        <v>1</v>
      </c>
      <c r="R72" s="350">
        <v>1</v>
      </c>
      <c r="S72" s="351">
        <v>1</v>
      </c>
      <c r="T72" s="323">
        <v>1</v>
      </c>
      <c r="U72" s="324">
        <v>1</v>
      </c>
      <c r="V72" s="324">
        <v>1</v>
      </c>
      <c r="W72" s="324">
        <v>1</v>
      </c>
      <c r="X72" s="324">
        <v>1</v>
      </c>
      <c r="Y72" s="325">
        <v>1</v>
      </c>
      <c r="Z72" s="323">
        <v>0</v>
      </c>
      <c r="AA72" s="324">
        <v>0</v>
      </c>
      <c r="AB72" s="324">
        <v>0</v>
      </c>
      <c r="AC72" s="324">
        <v>0</v>
      </c>
      <c r="AD72" s="324">
        <v>0</v>
      </c>
      <c r="AE72" s="325">
        <v>0</v>
      </c>
    </row>
    <row r="73" spans="2:31" x14ac:dyDescent="0.2">
      <c r="B73" s="313">
        <v>2019</v>
      </c>
      <c r="C73" s="314">
        <f t="shared" si="48"/>
        <v>151412</v>
      </c>
      <c r="D73" s="315">
        <v>1000000</v>
      </c>
      <c r="E73" s="315">
        <v>1000000</v>
      </c>
      <c r="F73" s="315">
        <v>1000000</v>
      </c>
      <c r="G73" s="315">
        <v>1000000</v>
      </c>
      <c r="H73" s="316">
        <v>1000000</v>
      </c>
      <c r="I73" s="317">
        <f>D73*I60</f>
        <v>0</v>
      </c>
      <c r="J73" s="318">
        <f>E73*J60</f>
        <v>0</v>
      </c>
      <c r="K73" s="318">
        <f>F73*K60</f>
        <v>0</v>
      </c>
      <c r="L73" s="318">
        <f>G73*L60</f>
        <v>0</v>
      </c>
      <c r="M73" s="319">
        <f>H73*M60</f>
        <v>0</v>
      </c>
      <c r="N73" s="320">
        <v>6.4333520263174488</v>
      </c>
      <c r="O73" s="321">
        <v>1</v>
      </c>
      <c r="P73" s="321">
        <v>1</v>
      </c>
      <c r="Q73" s="350">
        <v>1</v>
      </c>
      <c r="R73" s="350">
        <v>1</v>
      </c>
      <c r="S73" s="351">
        <v>1</v>
      </c>
      <c r="T73" s="323">
        <v>1</v>
      </c>
      <c r="U73" s="324">
        <v>1</v>
      </c>
      <c r="V73" s="324">
        <v>1</v>
      </c>
      <c r="W73" s="324">
        <v>1</v>
      </c>
      <c r="X73" s="324">
        <v>1</v>
      </c>
      <c r="Y73" s="325">
        <v>1</v>
      </c>
      <c r="Z73" s="323">
        <v>0</v>
      </c>
      <c r="AA73" s="324">
        <v>0</v>
      </c>
      <c r="AB73" s="324">
        <v>0</v>
      </c>
      <c r="AC73" s="324">
        <v>0</v>
      </c>
      <c r="AD73" s="324">
        <v>0</v>
      </c>
      <c r="AE73" s="325">
        <v>0</v>
      </c>
    </row>
    <row r="74" spans="2:31" ht="15" thickBot="1" x14ac:dyDescent="0.25">
      <c r="B74" s="326">
        <v>2020</v>
      </c>
      <c r="C74" s="327">
        <f>C75</f>
        <v>151412</v>
      </c>
      <c r="D74" s="328">
        <v>1000000</v>
      </c>
      <c r="E74" s="328">
        <v>1000000</v>
      </c>
      <c r="F74" s="328">
        <v>1000000</v>
      </c>
      <c r="G74" s="328">
        <v>1000000</v>
      </c>
      <c r="H74" s="329">
        <v>1000000</v>
      </c>
      <c r="I74" s="330">
        <f>D74*I60</f>
        <v>0</v>
      </c>
      <c r="J74" s="331">
        <f>E74*J60</f>
        <v>0</v>
      </c>
      <c r="K74" s="331">
        <f>F74*K60</f>
        <v>0</v>
      </c>
      <c r="L74" s="331">
        <f>G74*L60</f>
        <v>0</v>
      </c>
      <c r="M74" s="332">
        <f>H74*M60</f>
        <v>0</v>
      </c>
      <c r="N74" s="333">
        <v>6.4864337636120455</v>
      </c>
      <c r="O74" s="334">
        <v>1</v>
      </c>
      <c r="P74" s="334">
        <v>1</v>
      </c>
      <c r="Q74" s="348">
        <v>1</v>
      </c>
      <c r="R74" s="348">
        <v>1</v>
      </c>
      <c r="S74" s="349">
        <v>1</v>
      </c>
      <c r="T74" s="336">
        <v>1</v>
      </c>
      <c r="U74" s="337">
        <v>1</v>
      </c>
      <c r="V74" s="337">
        <v>1</v>
      </c>
      <c r="W74" s="337">
        <v>1</v>
      </c>
      <c r="X74" s="337">
        <v>1</v>
      </c>
      <c r="Y74" s="338">
        <v>1</v>
      </c>
      <c r="Z74" s="336">
        <v>0</v>
      </c>
      <c r="AA74" s="337">
        <v>0</v>
      </c>
      <c r="AB74" s="337">
        <v>0</v>
      </c>
      <c r="AC74" s="337">
        <v>0</v>
      </c>
      <c r="AD74" s="337">
        <v>0</v>
      </c>
      <c r="AE74" s="338">
        <v>0</v>
      </c>
    </row>
    <row r="75" spans="2:31" x14ac:dyDescent="0.2">
      <c r="B75" s="300">
        <v>2021</v>
      </c>
      <c r="C75" s="339">
        <f>AC6</f>
        <v>151412</v>
      </c>
      <c r="D75" s="340">
        <f>AD6</f>
        <v>0</v>
      </c>
      <c r="E75" s="340">
        <f t="shared" ref="E75:H75" si="49">AE6</f>
        <v>9699</v>
      </c>
      <c r="F75" s="340">
        <f t="shared" si="49"/>
        <v>740658</v>
      </c>
      <c r="G75" s="340">
        <f t="shared" si="49"/>
        <v>206108</v>
      </c>
      <c r="H75" s="341">
        <f t="shared" si="49"/>
        <v>0</v>
      </c>
      <c r="I75" s="304">
        <f>D75*I60</f>
        <v>0</v>
      </c>
      <c r="J75" s="305">
        <f>E75*J60</f>
        <v>0</v>
      </c>
      <c r="K75" s="305">
        <f>F75*K60</f>
        <v>0</v>
      </c>
      <c r="L75" s="305">
        <f>G75*L60</f>
        <v>0</v>
      </c>
      <c r="M75" s="306">
        <f>H75*M60</f>
        <v>0</v>
      </c>
      <c r="N75" s="342">
        <f>J6</f>
        <v>6.4888939494054592</v>
      </c>
      <c r="O75" s="343">
        <f>MAX(K6,1)</f>
        <v>6.4994745530291773</v>
      </c>
      <c r="P75" s="343">
        <f t="shared" ref="P75:S75" si="50">MAX(L6,1)</f>
        <v>6.9255427244480288</v>
      </c>
      <c r="Q75" s="350">
        <f t="shared" si="50"/>
        <v>13.444232915384625</v>
      </c>
      <c r="R75" s="350">
        <f t="shared" si="50"/>
        <v>8.6439710002843295</v>
      </c>
      <c r="S75" s="351">
        <f t="shared" si="50"/>
        <v>1</v>
      </c>
      <c r="T75" s="345">
        <v>1</v>
      </c>
      <c r="U75" s="346">
        <v>1</v>
      </c>
      <c r="V75" s="346">
        <v>1</v>
      </c>
      <c r="W75" s="346">
        <v>1</v>
      </c>
      <c r="X75" s="346">
        <v>1</v>
      </c>
      <c r="Y75" s="347">
        <f>MAX(P6,1)</f>
        <v>1</v>
      </c>
      <c r="Z75" s="345">
        <v>0</v>
      </c>
      <c r="AA75" s="346">
        <v>0</v>
      </c>
      <c r="AB75" s="346">
        <v>0</v>
      </c>
      <c r="AC75" s="346">
        <f>Q6</f>
        <v>476.94400953435968</v>
      </c>
      <c r="AD75" s="346">
        <f t="shared" ref="AD75:AD104" si="51">R6</f>
        <v>0</v>
      </c>
      <c r="AE75" s="347">
        <f>S6</f>
        <v>0</v>
      </c>
    </row>
    <row r="76" spans="2:31" x14ac:dyDescent="0.2">
      <c r="B76" s="313">
        <v>2022</v>
      </c>
      <c r="C76" s="314">
        <f t="shared" ref="C76:C104" si="52">AC7</f>
        <v>152694.05291325031</v>
      </c>
      <c r="D76" s="315">
        <f t="shared" ref="D76:H76" si="53">AD7</f>
        <v>354.46018971253989</v>
      </c>
      <c r="E76" s="315">
        <f t="shared" si="53"/>
        <v>9602.9014142927717</v>
      </c>
      <c r="F76" s="315">
        <f t="shared" si="53"/>
        <v>690931.14657713624</v>
      </c>
      <c r="G76" s="315">
        <f t="shared" si="53"/>
        <v>189028.0097170748</v>
      </c>
      <c r="H76" s="316">
        <f t="shared" si="53"/>
        <v>0</v>
      </c>
      <c r="I76" s="317">
        <f>D76*I60</f>
        <v>0</v>
      </c>
      <c r="J76" s="318">
        <f>E76*J60</f>
        <v>0</v>
      </c>
      <c r="K76" s="318">
        <f>F76*K60</f>
        <v>0</v>
      </c>
      <c r="L76" s="318">
        <f>G76*L60</f>
        <v>0</v>
      </c>
      <c r="M76" s="319">
        <f>H76*M60</f>
        <v>0</v>
      </c>
      <c r="N76" s="320">
        <f t="shared" ref="N76:N104" si="54">J7</f>
        <v>6.618661358461285</v>
      </c>
      <c r="O76" s="321">
        <f t="shared" ref="O76:S76" si="55">MAX(K7,1)</f>
        <v>6.7012534855663848</v>
      </c>
      <c r="P76" s="321">
        <f t="shared" si="55"/>
        <v>7.1508261156028468</v>
      </c>
      <c r="Q76" s="352">
        <f t="shared" si="55"/>
        <v>13.708325284148495</v>
      </c>
      <c r="R76" s="352">
        <f t="shared" si="55"/>
        <v>8.8705218665297902</v>
      </c>
      <c r="S76" s="353">
        <f t="shared" si="55"/>
        <v>1</v>
      </c>
      <c r="T76" s="323">
        <v>1</v>
      </c>
      <c r="U76" s="324">
        <v>1</v>
      </c>
      <c r="V76" s="324">
        <v>1</v>
      </c>
      <c r="W76" s="324">
        <v>1</v>
      </c>
      <c r="X76" s="324">
        <v>1</v>
      </c>
      <c r="Y76" s="325">
        <f t="shared" ref="Y76:Y104" si="56">MAX(P7,1)</f>
        <v>1</v>
      </c>
      <c r="Z76" s="323">
        <v>0</v>
      </c>
      <c r="AA76" s="324">
        <v>0</v>
      </c>
      <c r="AB76" s="324">
        <v>0</v>
      </c>
      <c r="AC76" s="324">
        <f t="shared" ref="AC76:AC104" si="57">Q7</f>
        <v>482.65361777609206</v>
      </c>
      <c r="AD76" s="324">
        <f t="shared" si="51"/>
        <v>0</v>
      </c>
      <c r="AE76" s="325">
        <f t="shared" ref="AE76:AE104" si="58">S7</f>
        <v>0</v>
      </c>
    </row>
    <row r="77" spans="2:31" x14ac:dyDescent="0.2">
      <c r="B77" s="313">
        <v>2023</v>
      </c>
      <c r="C77" s="314">
        <f t="shared" si="52"/>
        <v>153887.62389136266</v>
      </c>
      <c r="D77" s="315">
        <f t="shared" ref="D77:H77" si="59">AD8</f>
        <v>634.97877640824061</v>
      </c>
      <c r="E77" s="315">
        <f t="shared" si="59"/>
        <v>9526.849320916901</v>
      </c>
      <c r="F77" s="315">
        <f t="shared" si="59"/>
        <v>651577.48416918295</v>
      </c>
      <c r="G77" s="315">
        <f t="shared" si="59"/>
        <v>175510.96358891009</v>
      </c>
      <c r="H77" s="316">
        <f t="shared" si="59"/>
        <v>0</v>
      </c>
      <c r="I77" s="317">
        <f>D77*I60</f>
        <v>0</v>
      </c>
      <c r="J77" s="318">
        <f>E77*J60</f>
        <v>0</v>
      </c>
      <c r="K77" s="318">
        <f>F77*K60</f>
        <v>0</v>
      </c>
      <c r="L77" s="318">
        <f>G77*L60</f>
        <v>0</v>
      </c>
      <c r="M77" s="319">
        <f>H77*M60</f>
        <v>0</v>
      </c>
      <c r="N77" s="320">
        <f t="shared" si="54"/>
        <v>6.7394727631646916</v>
      </c>
      <c r="O77" s="321">
        <f t="shared" ref="O77:S77" si="60">MAX(K8,1)</f>
        <v>6.8609406454311026</v>
      </c>
      <c r="P77" s="321">
        <f t="shared" si="60"/>
        <v>7.329114623951317</v>
      </c>
      <c r="Q77" s="352">
        <f t="shared" si="60"/>
        <v>13.91732708517682</v>
      </c>
      <c r="R77" s="352">
        <f t="shared" si="60"/>
        <v>9.0498134503474308</v>
      </c>
      <c r="S77" s="353">
        <f t="shared" si="60"/>
        <v>1</v>
      </c>
      <c r="T77" s="323">
        <v>1</v>
      </c>
      <c r="U77" s="324">
        <v>1</v>
      </c>
      <c r="V77" s="324">
        <v>1</v>
      </c>
      <c r="W77" s="324">
        <v>1</v>
      </c>
      <c r="X77" s="324">
        <v>1</v>
      </c>
      <c r="Y77" s="325">
        <f t="shared" si="56"/>
        <v>1</v>
      </c>
      <c r="Z77" s="323">
        <v>0</v>
      </c>
      <c r="AA77" s="324">
        <v>0</v>
      </c>
      <c r="AB77" s="324">
        <v>0</v>
      </c>
      <c r="AC77" s="324">
        <f t="shared" si="57"/>
        <v>488.36322601782445</v>
      </c>
      <c r="AD77" s="324">
        <f t="shared" si="51"/>
        <v>0</v>
      </c>
      <c r="AE77" s="325">
        <f t="shared" si="58"/>
        <v>0</v>
      </c>
    </row>
    <row r="78" spans="2:31" x14ac:dyDescent="0.2">
      <c r="B78" s="313">
        <v>2024</v>
      </c>
      <c r="C78" s="314">
        <f t="shared" si="52"/>
        <v>155468.9856745867</v>
      </c>
      <c r="D78" s="315">
        <f t="shared" ref="D78:H78" si="61">AD9</f>
        <v>1002.6649938573407</v>
      </c>
      <c r="E78" s="315">
        <f t="shared" si="61"/>
        <v>9427.1649938573391</v>
      </c>
      <c r="F78" s="315">
        <f t="shared" si="61"/>
        <v>599995.16499385727</v>
      </c>
      <c r="G78" s="315">
        <f t="shared" si="61"/>
        <v>157793.66499385721</v>
      </c>
      <c r="H78" s="316">
        <f t="shared" si="61"/>
        <v>0</v>
      </c>
      <c r="I78" s="317">
        <f>D78*I60</f>
        <v>0</v>
      </c>
      <c r="J78" s="318">
        <f>E78*J60</f>
        <v>0</v>
      </c>
      <c r="K78" s="318">
        <f>F78*K60</f>
        <v>0</v>
      </c>
      <c r="L78" s="318">
        <f>G78*L60</f>
        <v>0</v>
      </c>
      <c r="M78" s="319">
        <f>H78*M60</f>
        <v>0</v>
      </c>
      <c r="N78" s="320">
        <f t="shared" si="54"/>
        <v>6.8995357521942369</v>
      </c>
      <c r="O78" s="321">
        <f t="shared" ref="O78:S78" si="62">MAX(K9,1)</f>
        <v>7.0702485864037987</v>
      </c>
      <c r="P78" s="321">
        <f t="shared" si="62"/>
        <v>7.5628040490317403</v>
      </c>
      <c r="Q78" s="352">
        <f t="shared" si="62"/>
        <v>14.191273573234364</v>
      </c>
      <c r="R78" s="352">
        <f t="shared" si="62"/>
        <v>9.2848176440120707</v>
      </c>
      <c r="S78" s="353">
        <f t="shared" si="62"/>
        <v>1</v>
      </c>
      <c r="T78" s="323">
        <v>1</v>
      </c>
      <c r="U78" s="324">
        <v>1</v>
      </c>
      <c r="V78" s="324">
        <v>1</v>
      </c>
      <c r="W78" s="324">
        <v>1</v>
      </c>
      <c r="X78" s="324">
        <v>1</v>
      </c>
      <c r="Y78" s="325">
        <f t="shared" si="56"/>
        <v>1</v>
      </c>
      <c r="Z78" s="323">
        <v>0</v>
      </c>
      <c r="AA78" s="324">
        <v>0</v>
      </c>
      <c r="AB78" s="324">
        <v>0</v>
      </c>
      <c r="AC78" s="324">
        <f t="shared" si="57"/>
        <v>494.07283425955683</v>
      </c>
      <c r="AD78" s="324">
        <f t="shared" si="51"/>
        <v>0</v>
      </c>
      <c r="AE78" s="325">
        <f t="shared" si="58"/>
        <v>0</v>
      </c>
    </row>
    <row r="79" spans="2:31" ht="15" thickBot="1" x14ac:dyDescent="0.25">
      <c r="B79" s="326">
        <v>2025</v>
      </c>
      <c r="C79" s="327">
        <f t="shared" si="52"/>
        <v>157278.03996967364</v>
      </c>
      <c r="D79" s="328">
        <f t="shared" ref="D79:H79" si="63">AD10</f>
        <v>1370.3512113064376</v>
      </c>
      <c r="E79" s="328">
        <f t="shared" si="63"/>
        <v>9327.4806667977791</v>
      </c>
      <c r="F79" s="328">
        <f t="shared" si="63"/>
        <v>548412.8458185317</v>
      </c>
      <c r="G79" s="328">
        <f t="shared" si="63"/>
        <v>140076.3663988047</v>
      </c>
      <c r="H79" s="329">
        <f t="shared" si="63"/>
        <v>0</v>
      </c>
      <c r="I79" s="330">
        <f>D79*I60</f>
        <v>0</v>
      </c>
      <c r="J79" s="331">
        <f>E79*J60</f>
        <v>0</v>
      </c>
      <c r="K79" s="331">
        <f>F79*K60</f>
        <v>0</v>
      </c>
      <c r="L79" s="331">
        <f>G79*L60</f>
        <v>0</v>
      </c>
      <c r="M79" s="332">
        <f>H79*M60</f>
        <v>0</v>
      </c>
      <c r="N79" s="333">
        <f t="shared" si="54"/>
        <v>7.0826454244148485</v>
      </c>
      <c r="O79" s="334">
        <f t="shared" ref="O79:S79" si="64">MAX(K10,1)</f>
        <v>7.2795565273764931</v>
      </c>
      <c r="P79" s="334">
        <f t="shared" si="64"/>
        <v>7.7964934741121619</v>
      </c>
      <c r="Q79" s="348">
        <f t="shared" si="64"/>
        <v>14.465220061291907</v>
      </c>
      <c r="R79" s="348">
        <f t="shared" si="64"/>
        <v>9.5198218376767052</v>
      </c>
      <c r="S79" s="349">
        <f t="shared" si="64"/>
        <v>1</v>
      </c>
      <c r="T79" s="336">
        <v>1</v>
      </c>
      <c r="U79" s="337">
        <v>1</v>
      </c>
      <c r="V79" s="337">
        <v>1</v>
      </c>
      <c r="W79" s="337">
        <v>1</v>
      </c>
      <c r="X79" s="337">
        <v>1</v>
      </c>
      <c r="Y79" s="338">
        <f t="shared" si="56"/>
        <v>1</v>
      </c>
      <c r="Z79" s="336">
        <v>0</v>
      </c>
      <c r="AA79" s="337">
        <v>0</v>
      </c>
      <c r="AB79" s="337">
        <v>0</v>
      </c>
      <c r="AC79" s="337">
        <f t="shared" si="57"/>
        <v>499.78244250128921</v>
      </c>
      <c r="AD79" s="337">
        <f t="shared" si="51"/>
        <v>0</v>
      </c>
      <c r="AE79" s="338">
        <f t="shared" si="58"/>
        <v>0</v>
      </c>
    </row>
    <row r="80" spans="2:31" x14ac:dyDescent="0.2">
      <c r="B80" s="300">
        <v>2026</v>
      </c>
      <c r="C80" s="339">
        <f t="shared" si="52"/>
        <v>159370.44685304872</v>
      </c>
      <c r="D80" s="340">
        <f t="shared" ref="D80:H80" si="65">AD11</f>
        <v>1650.8697980021368</v>
      </c>
      <c r="E80" s="340">
        <f t="shared" si="65"/>
        <v>9251.4285734219065</v>
      </c>
      <c r="F80" s="340">
        <f t="shared" si="65"/>
        <v>509059.18341057911</v>
      </c>
      <c r="G80" s="340">
        <f t="shared" si="65"/>
        <v>126559.32027063987</v>
      </c>
      <c r="H80" s="341">
        <f t="shared" si="65"/>
        <v>0</v>
      </c>
      <c r="I80" s="304">
        <f>D80*I60</f>
        <v>0</v>
      </c>
      <c r="J80" s="305">
        <f>E80*J60</f>
        <v>0</v>
      </c>
      <c r="K80" s="305">
        <f>F80*K60</f>
        <v>0</v>
      </c>
      <c r="L80" s="305">
        <f>G80*L60</f>
        <v>0</v>
      </c>
      <c r="M80" s="306">
        <f>H80*M60</f>
        <v>0</v>
      </c>
      <c r="N80" s="342">
        <f t="shared" si="54"/>
        <v>7.294435606504738</v>
      </c>
      <c r="O80" s="343">
        <f t="shared" ref="O80:S80" si="66">MAX(K11,1)</f>
        <v>7.43924368724121</v>
      </c>
      <c r="P80" s="343">
        <f t="shared" si="66"/>
        <v>7.9747819824606321</v>
      </c>
      <c r="Q80" s="350">
        <f t="shared" si="66"/>
        <v>14.674221862320229</v>
      </c>
      <c r="R80" s="350">
        <f t="shared" si="66"/>
        <v>9.6991134214943475</v>
      </c>
      <c r="S80" s="351">
        <f t="shared" si="66"/>
        <v>1</v>
      </c>
      <c r="T80" s="345">
        <v>1</v>
      </c>
      <c r="U80" s="346">
        <v>1</v>
      </c>
      <c r="V80" s="346">
        <v>1</v>
      </c>
      <c r="W80" s="346">
        <v>1</v>
      </c>
      <c r="X80" s="346">
        <v>1</v>
      </c>
      <c r="Y80" s="347">
        <f t="shared" si="56"/>
        <v>1</v>
      </c>
      <c r="Z80" s="345">
        <v>0</v>
      </c>
      <c r="AA80" s="346">
        <v>0</v>
      </c>
      <c r="AB80" s="346">
        <v>0</v>
      </c>
      <c r="AC80" s="346">
        <f t="shared" si="57"/>
        <v>505.49205074302159</v>
      </c>
      <c r="AD80" s="346">
        <f t="shared" si="51"/>
        <v>0</v>
      </c>
      <c r="AE80" s="347">
        <f t="shared" si="58"/>
        <v>0</v>
      </c>
    </row>
    <row r="81" spans="2:31" x14ac:dyDescent="0.2">
      <c r="B81" s="313">
        <v>2027</v>
      </c>
      <c r="C81" s="314">
        <f t="shared" si="52"/>
        <v>161438.64993857368</v>
      </c>
      <c r="D81" s="315">
        <f t="shared" ref="D81:H81" si="67">AD12</f>
        <v>2005.3299877146783</v>
      </c>
      <c r="E81" s="315">
        <f t="shared" si="67"/>
        <v>9155.3299877146783</v>
      </c>
      <c r="F81" s="315">
        <f t="shared" si="67"/>
        <v>459332.32998771465</v>
      </c>
      <c r="G81" s="315">
        <f t="shared" si="67"/>
        <v>109479.32998771468</v>
      </c>
      <c r="H81" s="316">
        <f t="shared" si="67"/>
        <v>0</v>
      </c>
      <c r="I81" s="317">
        <f>D81*I60</f>
        <v>0</v>
      </c>
      <c r="J81" s="318">
        <f>E81*J60</f>
        <v>0</v>
      </c>
      <c r="K81" s="318">
        <f>F81*K60</f>
        <v>0</v>
      </c>
      <c r="L81" s="318">
        <f>G81*L60</f>
        <v>0</v>
      </c>
      <c r="M81" s="319">
        <f>H81*M60</f>
        <v>0</v>
      </c>
      <c r="N81" s="320">
        <f t="shared" si="54"/>
        <v>7.5037759176853553</v>
      </c>
      <c r="O81" s="321">
        <f t="shared" ref="O81:S81" si="68">MAX(K12,1)</f>
        <v>7.6410226197784183</v>
      </c>
      <c r="P81" s="321">
        <f t="shared" si="68"/>
        <v>8.2000653736154518</v>
      </c>
      <c r="Q81" s="352">
        <f t="shared" si="68"/>
        <v>14.938314231084103</v>
      </c>
      <c r="R81" s="352">
        <f t="shared" si="68"/>
        <v>9.9256642877398082</v>
      </c>
      <c r="S81" s="353">
        <f t="shared" si="68"/>
        <v>1</v>
      </c>
      <c r="T81" s="323">
        <v>1</v>
      </c>
      <c r="U81" s="324">
        <v>1</v>
      </c>
      <c r="V81" s="324">
        <v>1</v>
      </c>
      <c r="W81" s="324">
        <v>1</v>
      </c>
      <c r="X81" s="324">
        <v>1</v>
      </c>
      <c r="Y81" s="325">
        <f t="shared" si="56"/>
        <v>1</v>
      </c>
      <c r="Z81" s="323">
        <v>0</v>
      </c>
      <c r="AA81" s="324">
        <v>0</v>
      </c>
      <c r="AB81" s="324">
        <v>0</v>
      </c>
      <c r="AC81" s="324">
        <f t="shared" si="57"/>
        <v>511.20165898475403</v>
      </c>
      <c r="AD81" s="324">
        <f t="shared" si="51"/>
        <v>0</v>
      </c>
      <c r="AE81" s="325">
        <f t="shared" si="58"/>
        <v>0</v>
      </c>
    </row>
    <row r="82" spans="2:31" x14ac:dyDescent="0.2">
      <c r="B82" s="313">
        <v>2028</v>
      </c>
      <c r="C82" s="314">
        <f t="shared" si="52"/>
        <v>161925.61809378397</v>
      </c>
      <c r="D82" s="315">
        <f t="shared" ref="D82:H82" si="69">AD13</f>
        <v>2201.1991386476466</v>
      </c>
      <c r="E82" s="315">
        <f t="shared" si="69"/>
        <v>9165.9818765394029</v>
      </c>
      <c r="F82" s="315">
        <f t="shared" si="69"/>
        <v>407688.73697089049</v>
      </c>
      <c r="G82" s="315">
        <f t="shared" si="69"/>
        <v>104645.12572423878</v>
      </c>
      <c r="H82" s="316">
        <f t="shared" si="69"/>
        <v>0</v>
      </c>
      <c r="I82" s="317">
        <f>D82*I60</f>
        <v>0</v>
      </c>
      <c r="J82" s="318">
        <f>E82*J60</f>
        <v>0</v>
      </c>
      <c r="K82" s="318">
        <f>F82*K60</f>
        <v>0</v>
      </c>
      <c r="L82" s="318">
        <f>G82*L60</f>
        <v>0</v>
      </c>
      <c r="M82" s="319">
        <f>H82*M60</f>
        <v>0</v>
      </c>
      <c r="N82" s="320">
        <f t="shared" si="54"/>
        <v>7.6179189540571528</v>
      </c>
      <c r="O82" s="321">
        <f t="shared" ref="O82:S82" si="70">MAX(K13,1)</f>
        <v>7.9313508994189945</v>
      </c>
      <c r="P82" s="321">
        <f t="shared" si="70"/>
        <v>8.5216184131890618</v>
      </c>
      <c r="Q82" s="352">
        <f t="shared" si="70"/>
        <v>15.350414684274368</v>
      </c>
      <c r="R82" s="352">
        <f t="shared" si="70"/>
        <v>10.147600336386622</v>
      </c>
      <c r="S82" s="353">
        <f t="shared" si="70"/>
        <v>1</v>
      </c>
      <c r="T82" s="323">
        <v>1</v>
      </c>
      <c r="U82" s="324">
        <v>1</v>
      </c>
      <c r="V82" s="324">
        <v>1</v>
      </c>
      <c r="W82" s="324">
        <v>1</v>
      </c>
      <c r="X82" s="324">
        <v>1</v>
      </c>
      <c r="Y82" s="325">
        <f t="shared" si="56"/>
        <v>1</v>
      </c>
      <c r="Z82" s="323">
        <v>0</v>
      </c>
      <c r="AA82" s="324">
        <v>0</v>
      </c>
      <c r="AB82" s="324">
        <v>0</v>
      </c>
      <c r="AC82" s="324">
        <f t="shared" si="57"/>
        <v>512.13969636103775</v>
      </c>
      <c r="AD82" s="324">
        <f t="shared" si="51"/>
        <v>0</v>
      </c>
      <c r="AE82" s="325">
        <f t="shared" si="58"/>
        <v>0</v>
      </c>
    </row>
    <row r="83" spans="2:31" x14ac:dyDescent="0.2">
      <c r="B83" s="313">
        <v>2029</v>
      </c>
      <c r="C83" s="314">
        <f t="shared" si="52"/>
        <v>162512.84826185249</v>
      </c>
      <c r="D83" s="315">
        <f t="shared" ref="D83:H83" si="71">AD14</f>
        <v>2349.6502863568376</v>
      </c>
      <c r="E83" s="315">
        <f t="shared" si="71"/>
        <v>9174.0550473974436</v>
      </c>
      <c r="F83" s="315">
        <f t="shared" si="71"/>
        <v>368547.552059145</v>
      </c>
      <c r="G83" s="315">
        <f t="shared" si="71"/>
        <v>100981.2349698481</v>
      </c>
      <c r="H83" s="316">
        <f t="shared" si="71"/>
        <v>0</v>
      </c>
      <c r="I83" s="317">
        <f>D83*I60</f>
        <v>0</v>
      </c>
      <c r="J83" s="318">
        <f>E83*J60</f>
        <v>0</v>
      </c>
      <c r="K83" s="318">
        <f>F83*K60</f>
        <v>0</v>
      </c>
      <c r="L83" s="318">
        <f>G83*L60</f>
        <v>0</v>
      </c>
      <c r="M83" s="319">
        <f>H83*M60</f>
        <v>0</v>
      </c>
      <c r="N83" s="320">
        <f t="shared" si="54"/>
        <v>7.7555629328580205</v>
      </c>
      <c r="O83" s="321">
        <f t="shared" ref="O83:S83" si="72">MAX(K14,1)</f>
        <v>8.1513935458479274</v>
      </c>
      <c r="P83" s="321">
        <f t="shared" si="72"/>
        <v>8.765326610966552</v>
      </c>
      <c r="Q83" s="352">
        <f t="shared" si="72"/>
        <v>15.662749653595334</v>
      </c>
      <c r="R83" s="352">
        <f t="shared" si="72"/>
        <v>10.315807841155648</v>
      </c>
      <c r="S83" s="353">
        <f t="shared" si="72"/>
        <v>1</v>
      </c>
      <c r="T83" s="323">
        <v>1</v>
      </c>
      <c r="U83" s="324">
        <v>1</v>
      </c>
      <c r="V83" s="324">
        <v>1</v>
      </c>
      <c r="W83" s="324">
        <v>1</v>
      </c>
      <c r="X83" s="324">
        <v>1</v>
      </c>
      <c r="Y83" s="325">
        <f t="shared" si="56"/>
        <v>1</v>
      </c>
      <c r="Z83" s="323">
        <v>0</v>
      </c>
      <c r="AA83" s="324">
        <v>0</v>
      </c>
      <c r="AB83" s="324">
        <v>0</v>
      </c>
      <c r="AC83" s="324">
        <f t="shared" si="57"/>
        <v>513.07773373732141</v>
      </c>
      <c r="AD83" s="324">
        <f t="shared" si="51"/>
        <v>0</v>
      </c>
      <c r="AE83" s="325">
        <f t="shared" si="58"/>
        <v>0</v>
      </c>
    </row>
    <row r="84" spans="2:31" ht="15" thickBot="1" x14ac:dyDescent="0.25">
      <c r="B84" s="326">
        <v>2030</v>
      </c>
      <c r="C84" s="327">
        <f t="shared" si="52"/>
        <v>162980.88423840102</v>
      </c>
      <c r="D84" s="328">
        <f t="shared" ref="D84:H84" si="73">AD15</f>
        <v>2518.770537790489</v>
      </c>
      <c r="E84" s="328">
        <f t="shared" si="73"/>
        <v>9183.2522594530437</v>
      </c>
      <c r="F84" s="328">
        <f t="shared" si="73"/>
        <v>323956.67394311365</v>
      </c>
      <c r="G84" s="328">
        <f t="shared" si="73"/>
        <v>96807.214524941635</v>
      </c>
      <c r="H84" s="329">
        <f t="shared" si="73"/>
        <v>0</v>
      </c>
      <c r="I84" s="330">
        <f>D84*I60</f>
        <v>0</v>
      </c>
      <c r="J84" s="331">
        <f>E84*J60</f>
        <v>0</v>
      </c>
      <c r="K84" s="331">
        <f>F84*K60</f>
        <v>0</v>
      </c>
      <c r="L84" s="331">
        <f>G84*L60</f>
        <v>0</v>
      </c>
      <c r="M84" s="332">
        <f>H84*M60</f>
        <v>0</v>
      </c>
      <c r="N84" s="333">
        <f t="shared" si="54"/>
        <v>7.8652683559393761</v>
      </c>
      <c r="O84" s="334">
        <f t="shared" ref="O84:S84" si="74">MAX(K15,1)</f>
        <v>8.4020731011389866</v>
      </c>
      <c r="P84" s="334">
        <f t="shared" si="74"/>
        <v>9.0429667122429134</v>
      </c>
      <c r="Q84" s="348">
        <f t="shared" si="74"/>
        <v>16.018571547586753</v>
      </c>
      <c r="R84" s="348">
        <f t="shared" si="74"/>
        <v>10.507435160570463</v>
      </c>
      <c r="S84" s="349">
        <f t="shared" si="74"/>
        <v>1</v>
      </c>
      <c r="T84" s="336">
        <v>1</v>
      </c>
      <c r="U84" s="337">
        <v>1</v>
      </c>
      <c r="V84" s="337">
        <v>1</v>
      </c>
      <c r="W84" s="337">
        <v>1</v>
      </c>
      <c r="X84" s="337">
        <v>1</v>
      </c>
      <c r="Y84" s="338">
        <f t="shared" si="56"/>
        <v>1</v>
      </c>
      <c r="Z84" s="336">
        <v>0</v>
      </c>
      <c r="AA84" s="337">
        <v>0</v>
      </c>
      <c r="AB84" s="337">
        <v>0</v>
      </c>
      <c r="AC84" s="337">
        <f t="shared" si="57"/>
        <v>514.01577111360507</v>
      </c>
      <c r="AD84" s="337">
        <f t="shared" si="51"/>
        <v>0</v>
      </c>
      <c r="AE84" s="338">
        <f t="shared" si="58"/>
        <v>0</v>
      </c>
    </row>
    <row r="85" spans="2:31" x14ac:dyDescent="0.2">
      <c r="B85" s="300">
        <v>2031</v>
      </c>
      <c r="C85" s="339">
        <f t="shared" si="52"/>
        <v>163384.93715879397</v>
      </c>
      <c r="D85" s="340">
        <f t="shared" ref="D85:H85" si="75">AD16</f>
        <v>2658.1155637144275</v>
      </c>
      <c r="E85" s="340">
        <f t="shared" si="75"/>
        <v>9190.8302150287436</v>
      </c>
      <c r="F85" s="340">
        <f t="shared" si="75"/>
        <v>287216.44316426408</v>
      </c>
      <c r="G85" s="340">
        <f t="shared" si="75"/>
        <v>93368.06999806207</v>
      </c>
      <c r="H85" s="341">
        <f t="shared" si="75"/>
        <v>0</v>
      </c>
      <c r="I85" s="304">
        <f>D85*I60</f>
        <v>0</v>
      </c>
      <c r="J85" s="305">
        <f>E85*J60</f>
        <v>0</v>
      </c>
      <c r="K85" s="305">
        <f>F85*K60</f>
        <v>0</v>
      </c>
      <c r="L85" s="305">
        <f>G85*L60</f>
        <v>0</v>
      </c>
      <c r="M85" s="306">
        <f>H85*M60</f>
        <v>0</v>
      </c>
      <c r="N85" s="342">
        <f t="shared" si="54"/>
        <v>7.9599764527524544</v>
      </c>
      <c r="O85" s="343">
        <f t="shared" ref="O85:S85" si="76">MAX(K16,1)</f>
        <v>8.6086181413368354</v>
      </c>
      <c r="P85" s="343">
        <f t="shared" si="76"/>
        <v>9.2717256384029589</v>
      </c>
      <c r="Q85" s="350">
        <f t="shared" si="76"/>
        <v>16.31174761977341</v>
      </c>
      <c r="R85" s="350">
        <f t="shared" si="76"/>
        <v>10.665324671526328</v>
      </c>
      <c r="S85" s="351">
        <f t="shared" si="76"/>
        <v>1</v>
      </c>
      <c r="T85" s="345">
        <v>1</v>
      </c>
      <c r="U85" s="346">
        <v>1</v>
      </c>
      <c r="V85" s="346">
        <v>1</v>
      </c>
      <c r="W85" s="346">
        <v>1</v>
      </c>
      <c r="X85" s="346">
        <v>1</v>
      </c>
      <c r="Y85" s="347">
        <f t="shared" si="56"/>
        <v>1</v>
      </c>
      <c r="Z85" s="345">
        <v>0</v>
      </c>
      <c r="AA85" s="346">
        <v>0</v>
      </c>
      <c r="AB85" s="346">
        <v>0</v>
      </c>
      <c r="AC85" s="346">
        <f t="shared" si="57"/>
        <v>514.95380848988873</v>
      </c>
      <c r="AD85" s="346">
        <f t="shared" si="51"/>
        <v>0</v>
      </c>
      <c r="AE85" s="347">
        <f t="shared" si="58"/>
        <v>0</v>
      </c>
    </row>
    <row r="86" spans="2:31" x14ac:dyDescent="0.2">
      <c r="B86" s="313">
        <v>2032</v>
      </c>
      <c r="C86" s="314">
        <f t="shared" si="52"/>
        <v>163647.29087656995</v>
      </c>
      <c r="D86" s="340">
        <f t="shared" ref="D86:H86" si="77">AD17</f>
        <v>2745.4057496023306</v>
      </c>
      <c r="E86" s="340">
        <f t="shared" si="77"/>
        <v>9195.5772890377884</v>
      </c>
      <c r="F86" s="340">
        <f t="shared" si="77"/>
        <v>264201.18622928811</v>
      </c>
      <c r="G86" s="340">
        <f t="shared" si="77"/>
        <v>91213.679749424511</v>
      </c>
      <c r="H86" s="341">
        <f t="shared" si="77"/>
        <v>0</v>
      </c>
      <c r="I86" s="317">
        <f>D86*I60</f>
        <v>0</v>
      </c>
      <c r="J86" s="318">
        <f>E86*J60</f>
        <v>0</v>
      </c>
      <c r="K86" s="318">
        <f>F86*K60</f>
        <v>0</v>
      </c>
      <c r="L86" s="318">
        <f>G86*L60</f>
        <v>0</v>
      </c>
      <c r="M86" s="319">
        <f>H86*M60</f>
        <v>0</v>
      </c>
      <c r="N86" s="342">
        <f t="shared" si="54"/>
        <v>8.0214709255018093</v>
      </c>
      <c r="O86" s="321">
        <f t="shared" ref="O86:S86" si="78">MAX(K17,1)</f>
        <v>8.7380045678242517</v>
      </c>
      <c r="P86" s="321">
        <f t="shared" si="78"/>
        <v>9.4150275543172555</v>
      </c>
      <c r="Q86" s="352">
        <f t="shared" si="78"/>
        <v>16.49540249851324</v>
      </c>
      <c r="R86" s="352">
        <f t="shared" si="78"/>
        <v>10.764231716608874</v>
      </c>
      <c r="S86" s="353">
        <f t="shared" si="78"/>
        <v>1</v>
      </c>
      <c r="T86" s="345">
        <v>1</v>
      </c>
      <c r="U86" s="346">
        <v>1</v>
      </c>
      <c r="V86" s="346">
        <v>1</v>
      </c>
      <c r="W86" s="346">
        <v>1</v>
      </c>
      <c r="X86" s="346">
        <v>1</v>
      </c>
      <c r="Y86" s="347">
        <f t="shared" si="56"/>
        <v>1</v>
      </c>
      <c r="Z86" s="345">
        <v>0</v>
      </c>
      <c r="AA86" s="346">
        <v>0</v>
      </c>
      <c r="AB86" s="346">
        <v>0</v>
      </c>
      <c r="AC86" s="346">
        <f t="shared" si="57"/>
        <v>515.89184586617239</v>
      </c>
      <c r="AD86" s="346">
        <f t="shared" si="51"/>
        <v>0</v>
      </c>
      <c r="AE86" s="347">
        <f t="shared" si="58"/>
        <v>0</v>
      </c>
    </row>
    <row r="87" spans="2:31" x14ac:dyDescent="0.2">
      <c r="B87" s="313">
        <v>2033</v>
      </c>
      <c r="C87" s="314">
        <f t="shared" si="52"/>
        <v>163724.32308695698</v>
      </c>
      <c r="D87" s="340">
        <f t="shared" ref="D87:H87" si="79">AD18</f>
        <v>2791.0683631348884</v>
      </c>
      <c r="E87" s="340">
        <f t="shared" si="79"/>
        <v>9198.060544213391</v>
      </c>
      <c r="F87" s="340">
        <f t="shared" si="79"/>
        <v>252161.61073652987</v>
      </c>
      <c r="G87" s="340">
        <f t="shared" si="79"/>
        <v>90086.690634655271</v>
      </c>
      <c r="H87" s="341">
        <f t="shared" si="79"/>
        <v>0</v>
      </c>
      <c r="I87" s="317">
        <f>D87*I60</f>
        <v>0</v>
      </c>
      <c r="J87" s="318">
        <f>E87*J60</f>
        <v>0</v>
      </c>
      <c r="K87" s="318">
        <f>F87*K60</f>
        <v>0</v>
      </c>
      <c r="L87" s="318">
        <f>G87*L60</f>
        <v>0</v>
      </c>
      <c r="M87" s="319">
        <f>H87*M60</f>
        <v>0</v>
      </c>
      <c r="N87" s="342">
        <f t="shared" si="54"/>
        <v>8.0395269119106274</v>
      </c>
      <c r="O87" s="321">
        <f t="shared" ref="O87:S87" si="80">MAX(K18,1)</f>
        <v>8.8056882636367533</v>
      </c>
      <c r="P87" s="321">
        <f t="shared" si="80"/>
        <v>9.4899906207640683</v>
      </c>
      <c r="Q87" s="352">
        <f t="shared" si="80"/>
        <v>16.591474716322868</v>
      </c>
      <c r="R87" s="352">
        <f t="shared" si="80"/>
        <v>10.815971257879315</v>
      </c>
      <c r="S87" s="353">
        <f t="shared" si="80"/>
        <v>1</v>
      </c>
      <c r="T87" s="345">
        <v>1</v>
      </c>
      <c r="U87" s="346">
        <v>1</v>
      </c>
      <c r="V87" s="346">
        <v>1</v>
      </c>
      <c r="W87" s="346">
        <v>1</v>
      </c>
      <c r="X87" s="346">
        <v>1</v>
      </c>
      <c r="Y87" s="347">
        <f t="shared" si="56"/>
        <v>1</v>
      </c>
      <c r="Z87" s="345">
        <v>0</v>
      </c>
      <c r="AA87" s="346">
        <v>0</v>
      </c>
      <c r="AB87" s="346">
        <v>0</v>
      </c>
      <c r="AC87" s="346">
        <f t="shared" si="57"/>
        <v>516.82988324245605</v>
      </c>
      <c r="AD87" s="346">
        <f t="shared" si="51"/>
        <v>0</v>
      </c>
      <c r="AE87" s="347">
        <f t="shared" si="58"/>
        <v>0</v>
      </c>
    </row>
    <row r="88" spans="2:31" x14ac:dyDescent="0.2">
      <c r="B88" s="313">
        <v>2034</v>
      </c>
      <c r="C88" s="314">
        <f t="shared" si="52"/>
        <v>163799.77124309973</v>
      </c>
      <c r="D88" s="340">
        <f t="shared" ref="D88:H88" si="81">AD19</f>
        <v>2812.7182149636487</v>
      </c>
      <c r="E88" s="340">
        <f t="shared" si="81"/>
        <v>9199.2379211186017</v>
      </c>
      <c r="F88" s="340">
        <f t="shared" si="81"/>
        <v>246453.3298184094</v>
      </c>
      <c r="G88" s="340">
        <f t="shared" si="81"/>
        <v>89552.35531173335</v>
      </c>
      <c r="H88" s="341">
        <f t="shared" si="81"/>
        <v>0</v>
      </c>
      <c r="I88" s="317">
        <f>D88*I60</f>
        <v>0</v>
      </c>
      <c r="J88" s="318">
        <f>E88*J60</f>
        <v>0</v>
      </c>
      <c r="K88" s="318">
        <f>F88*K60</f>
        <v>0</v>
      </c>
      <c r="L88" s="318">
        <f>G88*L60</f>
        <v>0</v>
      </c>
      <c r="M88" s="319">
        <f>H88*M60</f>
        <v>0</v>
      </c>
      <c r="N88" s="342">
        <f t="shared" si="54"/>
        <v>8.0572116034836725</v>
      </c>
      <c r="O88" s="321">
        <f t="shared" ref="O88:S88" si="82">MAX(K19,1)</f>
        <v>8.8377788925386387</v>
      </c>
      <c r="P88" s="321">
        <f t="shared" si="82"/>
        <v>9.5255325916599247</v>
      </c>
      <c r="Q88" s="352">
        <f t="shared" si="82"/>
        <v>16.637025093743905</v>
      </c>
      <c r="R88" s="352">
        <f t="shared" si="82"/>
        <v>10.840502341747179</v>
      </c>
      <c r="S88" s="353">
        <f t="shared" si="82"/>
        <v>1</v>
      </c>
      <c r="T88" s="345">
        <v>1</v>
      </c>
      <c r="U88" s="346">
        <v>1</v>
      </c>
      <c r="V88" s="346">
        <v>1</v>
      </c>
      <c r="W88" s="346">
        <v>1</v>
      </c>
      <c r="X88" s="346">
        <v>1</v>
      </c>
      <c r="Y88" s="347">
        <f t="shared" si="56"/>
        <v>1</v>
      </c>
      <c r="Z88" s="345">
        <v>0</v>
      </c>
      <c r="AA88" s="346">
        <v>0</v>
      </c>
      <c r="AB88" s="346">
        <v>0</v>
      </c>
      <c r="AC88" s="346">
        <f t="shared" si="57"/>
        <v>517.76792061873971</v>
      </c>
      <c r="AD88" s="346">
        <f t="shared" si="51"/>
        <v>0</v>
      </c>
      <c r="AE88" s="347">
        <f t="shared" si="58"/>
        <v>0</v>
      </c>
    </row>
    <row r="89" spans="2:31" ht="15" thickBot="1" x14ac:dyDescent="0.25">
      <c r="B89" s="354">
        <v>2035</v>
      </c>
      <c r="C89" s="355">
        <f t="shared" si="52"/>
        <v>163848.29249390995</v>
      </c>
      <c r="D89" s="356">
        <f t="shared" ref="D89:H89" si="83">AD20</f>
        <v>2830.1879733511887</v>
      </c>
      <c r="E89" s="356">
        <f t="shared" si="83"/>
        <v>9200.1879733511887</v>
      </c>
      <c r="F89" s="356">
        <f t="shared" si="83"/>
        <v>241847.18797335122</v>
      </c>
      <c r="G89" s="356">
        <f t="shared" si="83"/>
        <v>89121.187973351189</v>
      </c>
      <c r="H89" s="357">
        <f t="shared" si="83"/>
        <v>0</v>
      </c>
      <c r="I89" s="358">
        <f>D89*I60</f>
        <v>0</v>
      </c>
      <c r="J89" s="359">
        <f>E89*J60</f>
        <v>0</v>
      </c>
      <c r="K89" s="359">
        <f>F89*K60</f>
        <v>0</v>
      </c>
      <c r="L89" s="359">
        <f>G89*L60</f>
        <v>0</v>
      </c>
      <c r="M89" s="360">
        <f>H89*M60</f>
        <v>0</v>
      </c>
      <c r="N89" s="361">
        <f t="shared" si="54"/>
        <v>8.0685847555815613</v>
      </c>
      <c r="O89" s="334">
        <f t="shared" ref="O89:S89" si="84">MAX(K20,1)</f>
        <v>8.8636735516732301</v>
      </c>
      <c r="P89" s="334">
        <f t="shared" si="84"/>
        <v>9.5542122172332906</v>
      </c>
      <c r="Q89" s="348">
        <f t="shared" si="84"/>
        <v>16.673780730424504</v>
      </c>
      <c r="R89" s="348">
        <f t="shared" si="84"/>
        <v>10.860297031870036</v>
      </c>
      <c r="S89" s="349">
        <f t="shared" si="84"/>
        <v>1</v>
      </c>
      <c r="T89" s="362">
        <v>1</v>
      </c>
      <c r="U89" s="363">
        <v>1</v>
      </c>
      <c r="V89" s="363">
        <v>1</v>
      </c>
      <c r="W89" s="363">
        <v>1</v>
      </c>
      <c r="X89" s="363">
        <v>1</v>
      </c>
      <c r="Y89" s="364">
        <f t="shared" si="56"/>
        <v>1</v>
      </c>
      <c r="Z89" s="362">
        <v>0</v>
      </c>
      <c r="AA89" s="363">
        <v>0</v>
      </c>
      <c r="AB89" s="363">
        <v>0</v>
      </c>
      <c r="AC89" s="363">
        <f t="shared" si="57"/>
        <v>518.7059579950236</v>
      </c>
      <c r="AD89" s="363">
        <f t="shared" si="51"/>
        <v>0</v>
      </c>
      <c r="AE89" s="364">
        <f t="shared" si="58"/>
        <v>0</v>
      </c>
    </row>
    <row r="90" spans="2:31" x14ac:dyDescent="0.2">
      <c r="B90" s="365">
        <v>2036</v>
      </c>
      <c r="C90" s="301">
        <f t="shared" si="52"/>
        <v>163848.29249390995</v>
      </c>
      <c r="D90" s="302">
        <f t="shared" ref="D90:H90" si="85">AD21</f>
        <v>3020.2713817262761</v>
      </c>
      <c r="E90" s="302">
        <f t="shared" si="85"/>
        <v>9306.4725196387062</v>
      </c>
      <c r="F90" s="302">
        <f t="shared" si="85"/>
        <v>234483.13057479609</v>
      </c>
      <c r="G90" s="302">
        <f t="shared" si="85"/>
        <v>86768.041239421364</v>
      </c>
      <c r="H90" s="303">
        <f t="shared" si="85"/>
        <v>0</v>
      </c>
      <c r="I90" s="366">
        <f>D90*I60</f>
        <v>0</v>
      </c>
      <c r="J90" s="367">
        <f>E90*J60</f>
        <v>0</v>
      </c>
      <c r="K90" s="367">
        <f>F90*K60</f>
        <v>0</v>
      </c>
      <c r="L90" s="367">
        <f>G90*L60</f>
        <v>0</v>
      </c>
      <c r="M90" s="368">
        <f>H90*M60</f>
        <v>0</v>
      </c>
      <c r="N90" s="307">
        <f t="shared" si="54"/>
        <v>8.0827348383128879</v>
      </c>
      <c r="O90" s="308">
        <f t="shared" ref="O90:S90" si="86">MAX(K21,1)</f>
        <v>8.943638792492921</v>
      </c>
      <c r="P90" s="308">
        <f t="shared" si="86"/>
        <v>9.6888543211359899</v>
      </c>
      <c r="Q90" s="369">
        <f t="shared" si="86"/>
        <v>16.921158157944486</v>
      </c>
      <c r="R90" s="369">
        <f t="shared" si="86"/>
        <v>11.039725067293004</v>
      </c>
      <c r="S90" s="370">
        <f t="shared" si="86"/>
        <v>1</v>
      </c>
      <c r="T90" s="310">
        <v>1</v>
      </c>
      <c r="U90" s="311">
        <v>1</v>
      </c>
      <c r="V90" s="311">
        <v>1</v>
      </c>
      <c r="W90" s="311">
        <v>1</v>
      </c>
      <c r="X90" s="311">
        <v>1</v>
      </c>
      <c r="Y90" s="312">
        <f t="shared" si="56"/>
        <v>1</v>
      </c>
      <c r="Z90" s="310">
        <v>0</v>
      </c>
      <c r="AA90" s="311">
        <v>0</v>
      </c>
      <c r="AB90" s="311">
        <v>0</v>
      </c>
      <c r="AC90" s="311">
        <f t="shared" si="57"/>
        <v>520.5296743194275</v>
      </c>
      <c r="AD90" s="311">
        <f t="shared" si="51"/>
        <v>0</v>
      </c>
      <c r="AE90" s="312">
        <f t="shared" si="58"/>
        <v>0</v>
      </c>
    </row>
    <row r="91" spans="2:31" x14ac:dyDescent="0.2">
      <c r="B91" s="313">
        <v>2037</v>
      </c>
      <c r="C91" s="314">
        <f t="shared" si="52"/>
        <v>163848.29249390995</v>
      </c>
      <c r="D91" s="315">
        <f t="shared" ref="D91:H91" si="87">AD22</f>
        <v>3136.1731780005457</v>
      </c>
      <c r="E91" s="315">
        <f t="shared" si="87"/>
        <v>9371.2786483598993</v>
      </c>
      <c r="F91" s="315">
        <f t="shared" si="87"/>
        <v>229992.95708908531</v>
      </c>
      <c r="G91" s="315">
        <f t="shared" si="87"/>
        <v>85333.229355044721</v>
      </c>
      <c r="H91" s="316">
        <f t="shared" si="87"/>
        <v>0</v>
      </c>
      <c r="I91" s="317">
        <f>D91*I60</f>
        <v>0</v>
      </c>
      <c r="J91" s="318">
        <f>E91*J60</f>
        <v>0</v>
      </c>
      <c r="K91" s="318">
        <f>F91*K60</f>
        <v>0</v>
      </c>
      <c r="L91" s="318">
        <f>G91*L60</f>
        <v>0</v>
      </c>
      <c r="M91" s="319">
        <f>H91*M60</f>
        <v>0</v>
      </c>
      <c r="N91" s="320">
        <f t="shared" si="54"/>
        <v>8.0946677445201622</v>
      </c>
      <c r="O91" s="321">
        <f t="shared" ref="O91:S91" si="88">MAX(K22,1)</f>
        <v>8.992396940980127</v>
      </c>
      <c r="P91" s="321">
        <f t="shared" si="88"/>
        <v>9.7709512375889833</v>
      </c>
      <c r="Q91" s="352">
        <f t="shared" si="88"/>
        <v>17.071994511587182</v>
      </c>
      <c r="R91" s="352">
        <f t="shared" si="88"/>
        <v>11.149129837468676</v>
      </c>
      <c r="S91" s="353">
        <f t="shared" si="88"/>
        <v>1</v>
      </c>
      <c r="T91" s="323">
        <v>1</v>
      </c>
      <c r="U91" s="324">
        <v>1</v>
      </c>
      <c r="V91" s="324">
        <v>1</v>
      </c>
      <c r="W91" s="324">
        <v>1</v>
      </c>
      <c r="X91" s="324">
        <v>1</v>
      </c>
      <c r="Y91" s="325">
        <f t="shared" si="56"/>
        <v>1</v>
      </c>
      <c r="Z91" s="323">
        <v>0</v>
      </c>
      <c r="AA91" s="324">
        <v>0</v>
      </c>
      <c r="AB91" s="324">
        <v>0</v>
      </c>
      <c r="AC91" s="324">
        <f t="shared" si="57"/>
        <v>522.3533906438314</v>
      </c>
      <c r="AD91" s="324">
        <f t="shared" si="51"/>
        <v>0</v>
      </c>
      <c r="AE91" s="325">
        <f t="shared" si="58"/>
        <v>0</v>
      </c>
    </row>
    <row r="92" spans="2:31" x14ac:dyDescent="0.2">
      <c r="B92" s="313">
        <v>2038</v>
      </c>
      <c r="C92" s="314">
        <f t="shared" si="52"/>
        <v>163848.29249390995</v>
      </c>
      <c r="D92" s="315">
        <f t="shared" ref="D92:H92" si="89">AD23</f>
        <v>3315.7455047807161</v>
      </c>
      <c r="E92" s="315">
        <f t="shared" si="89"/>
        <v>9471.685956082214</v>
      </c>
      <c r="F92" s="315">
        <f t="shared" si="89"/>
        <v>223036.11149742885</v>
      </c>
      <c r="G92" s="315">
        <f t="shared" si="89"/>
        <v>83110.205063344809</v>
      </c>
      <c r="H92" s="316">
        <f t="shared" si="89"/>
        <v>0</v>
      </c>
      <c r="I92" s="317">
        <f>D92*I60</f>
        <v>0</v>
      </c>
      <c r="J92" s="318">
        <f>E92*J60</f>
        <v>0</v>
      </c>
      <c r="K92" s="318">
        <f>F92*K60</f>
        <v>0</v>
      </c>
      <c r="L92" s="318">
        <f>G92*L60</f>
        <v>0</v>
      </c>
      <c r="M92" s="319">
        <f>H92*M60</f>
        <v>0</v>
      </c>
      <c r="N92" s="320">
        <f t="shared" si="54"/>
        <v>8.1005862254693923</v>
      </c>
      <c r="O92" s="321">
        <f t="shared" ref="O92:S92" si="90">MAX(K23,1)</f>
        <v>9.0679403273192083</v>
      </c>
      <c r="P92" s="321">
        <f t="shared" si="90"/>
        <v>9.8981480091908214</v>
      </c>
      <c r="Q92" s="352">
        <f t="shared" si="90"/>
        <v>17.305692658271287</v>
      </c>
      <c r="R92" s="352">
        <f t="shared" si="90"/>
        <v>11.318636003661346</v>
      </c>
      <c r="S92" s="353">
        <f t="shared" si="90"/>
        <v>1</v>
      </c>
      <c r="T92" s="323">
        <v>1</v>
      </c>
      <c r="U92" s="324">
        <v>1</v>
      </c>
      <c r="V92" s="324">
        <v>1</v>
      </c>
      <c r="W92" s="324">
        <v>1</v>
      </c>
      <c r="X92" s="324">
        <v>1</v>
      </c>
      <c r="Y92" s="325">
        <f t="shared" si="56"/>
        <v>1</v>
      </c>
      <c r="Z92" s="323">
        <v>0</v>
      </c>
      <c r="AA92" s="324">
        <v>0</v>
      </c>
      <c r="AB92" s="324">
        <v>0</v>
      </c>
      <c r="AC92" s="324">
        <f t="shared" si="57"/>
        <v>524.17710696823531</v>
      </c>
      <c r="AD92" s="324">
        <f t="shared" si="51"/>
        <v>0</v>
      </c>
      <c r="AE92" s="325">
        <f t="shared" si="58"/>
        <v>0</v>
      </c>
    </row>
    <row r="93" spans="2:31" x14ac:dyDescent="0.2">
      <c r="B93" s="313">
        <v>2039</v>
      </c>
      <c r="C93" s="314">
        <f t="shared" si="52"/>
        <v>163848.29249390995</v>
      </c>
      <c r="D93" s="315">
        <f t="shared" ref="D93:H93" si="91">AD24</f>
        <v>3584.1033947684814</v>
      </c>
      <c r="E93" s="315">
        <f t="shared" si="91"/>
        <v>9621.7374351873405</v>
      </c>
      <c r="F93" s="315">
        <f t="shared" si="91"/>
        <v>212639.60755151126</v>
      </c>
      <c r="G93" s="315">
        <f t="shared" si="91"/>
        <v>79788.055604077366</v>
      </c>
      <c r="H93" s="316">
        <f t="shared" si="91"/>
        <v>0</v>
      </c>
      <c r="I93" s="317">
        <f>D93*I60</f>
        <v>0</v>
      </c>
      <c r="J93" s="318">
        <f>E93*J60</f>
        <v>0</v>
      </c>
      <c r="K93" s="318">
        <f>F93*K60</f>
        <v>0</v>
      </c>
      <c r="L93" s="318">
        <f>G93*L60</f>
        <v>0</v>
      </c>
      <c r="M93" s="319">
        <f>H93*M60</f>
        <v>0</v>
      </c>
      <c r="N93" s="320">
        <f t="shared" si="54"/>
        <v>8.1041670415640823</v>
      </c>
      <c r="O93" s="321">
        <f t="shared" ref="O93:S93" si="92">MAX(K24,1)</f>
        <v>9.1808344693286497</v>
      </c>
      <c r="P93" s="321">
        <f t="shared" si="92"/>
        <v>10.088234409764738</v>
      </c>
      <c r="Q93" s="352">
        <f t="shared" si="92"/>
        <v>17.654937682060353</v>
      </c>
      <c r="R93" s="352">
        <f t="shared" si="92"/>
        <v>11.571950742713911</v>
      </c>
      <c r="S93" s="353">
        <f t="shared" si="92"/>
        <v>1</v>
      </c>
      <c r="T93" s="323">
        <v>1</v>
      </c>
      <c r="U93" s="324">
        <v>1</v>
      </c>
      <c r="V93" s="324">
        <v>1</v>
      </c>
      <c r="W93" s="324">
        <v>1</v>
      </c>
      <c r="X93" s="324">
        <v>1</v>
      </c>
      <c r="Y93" s="325">
        <f t="shared" si="56"/>
        <v>1</v>
      </c>
      <c r="Z93" s="323">
        <v>0</v>
      </c>
      <c r="AA93" s="324">
        <v>0</v>
      </c>
      <c r="AB93" s="324">
        <v>0</v>
      </c>
      <c r="AC93" s="324">
        <f t="shared" si="57"/>
        <v>526.00082329263921</v>
      </c>
      <c r="AD93" s="324">
        <f t="shared" si="51"/>
        <v>0</v>
      </c>
      <c r="AE93" s="325">
        <f t="shared" si="58"/>
        <v>0</v>
      </c>
    </row>
    <row r="94" spans="2:31" ht="15" thickBot="1" x14ac:dyDescent="0.25">
      <c r="B94" s="326">
        <v>2040</v>
      </c>
      <c r="C94" s="327">
        <f t="shared" si="52"/>
        <v>163848.29249390995</v>
      </c>
      <c r="D94" s="328">
        <f t="shared" ref="D94:H94" si="93">AD25</f>
        <v>3964.2659649943262</v>
      </c>
      <c r="E94" s="328">
        <f t="shared" si="93"/>
        <v>9834.3041533315063</v>
      </c>
      <c r="F94" s="328">
        <f t="shared" si="93"/>
        <v>197911.65726980605</v>
      </c>
      <c r="G94" s="328">
        <f t="shared" si="93"/>
        <v>75081.814706270758</v>
      </c>
      <c r="H94" s="329">
        <f t="shared" si="93"/>
        <v>0</v>
      </c>
      <c r="I94" s="330">
        <f>D94*I60</f>
        <v>0</v>
      </c>
      <c r="J94" s="331">
        <f>E94*J60</f>
        <v>0</v>
      </c>
      <c r="K94" s="331">
        <f>F94*K60</f>
        <v>0</v>
      </c>
      <c r="L94" s="331">
        <f>G94*L60</f>
        <v>0</v>
      </c>
      <c r="M94" s="332">
        <f>H94*M60</f>
        <v>0</v>
      </c>
      <c r="N94" s="333">
        <f t="shared" si="54"/>
        <v>8.1043325932001693</v>
      </c>
      <c r="O94" s="334">
        <f t="shared" ref="O94:S94" si="94">MAX(K25,1)</f>
        <v>9.3407631645188953</v>
      </c>
      <c r="P94" s="334">
        <f t="shared" si="94"/>
        <v>10.357515609622332</v>
      </c>
      <c r="Q94" s="348">
        <f t="shared" si="94"/>
        <v>18.149687010609217</v>
      </c>
      <c r="R94" s="348">
        <f t="shared" si="94"/>
        <v>11.930802805079965</v>
      </c>
      <c r="S94" s="349">
        <f t="shared" si="94"/>
        <v>1</v>
      </c>
      <c r="T94" s="336">
        <v>1</v>
      </c>
      <c r="U94" s="337">
        <v>1</v>
      </c>
      <c r="V94" s="337">
        <v>1</v>
      </c>
      <c r="W94" s="337">
        <v>1</v>
      </c>
      <c r="X94" s="337">
        <v>1</v>
      </c>
      <c r="Y94" s="338">
        <f t="shared" si="56"/>
        <v>1</v>
      </c>
      <c r="Z94" s="336">
        <v>0</v>
      </c>
      <c r="AA94" s="337">
        <v>0</v>
      </c>
      <c r="AB94" s="337">
        <v>0</v>
      </c>
      <c r="AC94" s="337">
        <f t="shared" si="57"/>
        <v>527.82453961704311</v>
      </c>
      <c r="AD94" s="337">
        <f t="shared" si="51"/>
        <v>0</v>
      </c>
      <c r="AE94" s="338">
        <f t="shared" si="58"/>
        <v>0</v>
      </c>
    </row>
    <row r="95" spans="2:31" x14ac:dyDescent="0.2">
      <c r="B95" s="365">
        <v>2041</v>
      </c>
      <c r="C95" s="301">
        <f t="shared" si="52"/>
        <v>163848.29249390995</v>
      </c>
      <c r="D95" s="302">
        <f t="shared" ref="D95:H95" si="95">AD26</f>
        <v>4463.9380843060389</v>
      </c>
      <c r="E95" s="302">
        <f t="shared" si="95"/>
        <v>10113.694263954798</v>
      </c>
      <c r="F95" s="302">
        <f t="shared" si="95"/>
        <v>178553.76486602385</v>
      </c>
      <c r="G95" s="302">
        <f t="shared" si="95"/>
        <v>68896.099573922285</v>
      </c>
      <c r="H95" s="303">
        <f t="shared" si="95"/>
        <v>0</v>
      </c>
      <c r="I95" s="366">
        <f>D95*I60</f>
        <v>0</v>
      </c>
      <c r="J95" s="367">
        <f>E95*J60</f>
        <v>0</v>
      </c>
      <c r="K95" s="367">
        <f>F95*K60</f>
        <v>0</v>
      </c>
      <c r="L95" s="367">
        <f>G95*L60</f>
        <v>0</v>
      </c>
      <c r="M95" s="368">
        <f>H95*M60</f>
        <v>0</v>
      </c>
      <c r="N95" s="307">
        <f t="shared" si="54"/>
        <v>8.1043630004564644</v>
      </c>
      <c r="O95" s="343">
        <f t="shared" ref="O95:S95" si="96">MAX(K26,1)</f>
        <v>9.5509677357290315</v>
      </c>
      <c r="P95" s="343">
        <f t="shared" si="96"/>
        <v>10.711449211617168</v>
      </c>
      <c r="Q95" s="343">
        <f t="shared" si="96"/>
        <v>18.799967876969088</v>
      </c>
      <c r="R95" s="343">
        <f t="shared" si="96"/>
        <v>12.40246515315201</v>
      </c>
      <c r="S95" s="344">
        <f t="shared" si="96"/>
        <v>1</v>
      </c>
      <c r="T95" s="310">
        <v>1</v>
      </c>
      <c r="U95" s="311">
        <v>1</v>
      </c>
      <c r="V95" s="311">
        <v>1</v>
      </c>
      <c r="W95" s="311">
        <v>1</v>
      </c>
      <c r="X95" s="311">
        <v>1</v>
      </c>
      <c r="Y95" s="312">
        <f t="shared" si="56"/>
        <v>1</v>
      </c>
      <c r="Z95" s="310">
        <v>0</v>
      </c>
      <c r="AA95" s="311">
        <v>0</v>
      </c>
      <c r="AB95" s="311">
        <v>0</v>
      </c>
      <c r="AC95" s="311">
        <f t="shared" si="57"/>
        <v>529.64825594144702</v>
      </c>
      <c r="AD95" s="311">
        <f t="shared" si="51"/>
        <v>0</v>
      </c>
      <c r="AE95" s="312">
        <f t="shared" si="58"/>
        <v>0</v>
      </c>
    </row>
    <row r="96" spans="2:31" x14ac:dyDescent="0.2">
      <c r="B96" s="313">
        <v>2042</v>
      </c>
      <c r="C96" s="314">
        <f t="shared" si="52"/>
        <v>163848.29249390995</v>
      </c>
      <c r="D96" s="315">
        <f t="shared" ref="D96:H96" si="97">AD27</f>
        <v>5059.7599762635509</v>
      </c>
      <c r="E96" s="315">
        <f t="shared" si="97"/>
        <v>10446.846220752168</v>
      </c>
      <c r="F96" s="315">
        <f t="shared" si="97"/>
        <v>155470.91587252976</v>
      </c>
      <c r="G96" s="315">
        <f t="shared" si="97"/>
        <v>61520.093687616529</v>
      </c>
      <c r="H96" s="316">
        <f t="shared" si="97"/>
        <v>0</v>
      </c>
      <c r="I96" s="317">
        <f>D96*I60</f>
        <v>0</v>
      </c>
      <c r="J96" s="318">
        <f>E96*J60</f>
        <v>0</v>
      </c>
      <c r="K96" s="318">
        <f>F96*K60</f>
        <v>0</v>
      </c>
      <c r="L96" s="318">
        <f>G96*L60</f>
        <v>0</v>
      </c>
      <c r="M96" s="319">
        <f>H96*M60</f>
        <v>0</v>
      </c>
      <c r="N96" s="320">
        <f t="shared" si="54"/>
        <v>8.1043847804208973</v>
      </c>
      <c r="O96" s="321">
        <f t="shared" ref="O96:S96" si="98">MAX(K27,1)</f>
        <v>9.8016210751410089</v>
      </c>
      <c r="P96" s="321">
        <f t="shared" si="98"/>
        <v>11.133488745578724</v>
      </c>
      <c r="Q96" s="321">
        <f t="shared" si="98"/>
        <v>19.575379514168326</v>
      </c>
      <c r="R96" s="321">
        <f t="shared" si="98"/>
        <v>12.964887473173619</v>
      </c>
      <c r="S96" s="322">
        <f t="shared" si="98"/>
        <v>1</v>
      </c>
      <c r="T96" s="323">
        <v>1</v>
      </c>
      <c r="U96" s="324">
        <v>1</v>
      </c>
      <c r="V96" s="324">
        <v>1</v>
      </c>
      <c r="W96" s="324">
        <v>1</v>
      </c>
      <c r="X96" s="324">
        <v>1</v>
      </c>
      <c r="Y96" s="325">
        <f t="shared" si="56"/>
        <v>1</v>
      </c>
      <c r="Z96" s="323">
        <v>0</v>
      </c>
      <c r="AA96" s="324">
        <v>0</v>
      </c>
      <c r="AB96" s="324">
        <v>0</v>
      </c>
      <c r="AC96" s="324">
        <f t="shared" si="57"/>
        <v>531.47197226585092</v>
      </c>
      <c r="AD96" s="324">
        <f t="shared" si="51"/>
        <v>0</v>
      </c>
      <c r="AE96" s="325">
        <f t="shared" si="58"/>
        <v>0</v>
      </c>
    </row>
    <row r="97" spans="2:31" x14ac:dyDescent="0.2">
      <c r="B97" s="313">
        <v>2043</v>
      </c>
      <c r="C97" s="314">
        <f t="shared" si="52"/>
        <v>163848.29249390995</v>
      </c>
      <c r="D97" s="315">
        <f t="shared" ref="D97:H97" si="99">AD28</f>
        <v>5693.0150934260564</v>
      </c>
      <c r="E97" s="315">
        <f t="shared" si="99"/>
        <v>10800.928848937441</v>
      </c>
      <c r="F97" s="315">
        <f t="shared" si="99"/>
        <v>130937.8591971601</v>
      </c>
      <c r="G97" s="315">
        <f t="shared" si="99"/>
        <v>53680.681382073082</v>
      </c>
      <c r="H97" s="316">
        <f t="shared" si="99"/>
        <v>0</v>
      </c>
      <c r="I97" s="317">
        <f>D97*I60</f>
        <v>0</v>
      </c>
      <c r="J97" s="318">
        <f>E97*J60</f>
        <v>0</v>
      </c>
      <c r="K97" s="318">
        <f>F97*K60</f>
        <v>0</v>
      </c>
      <c r="L97" s="318">
        <f>G97*L60</f>
        <v>0</v>
      </c>
      <c r="M97" s="319">
        <f>H97*M60</f>
        <v>0</v>
      </c>
      <c r="N97" s="320">
        <f t="shared" si="54"/>
        <v>8.1044016873015927</v>
      </c>
      <c r="O97" s="321">
        <f t="shared" ref="O97:S97" si="100">MAX(K28,1)</f>
        <v>10.06802201132518</v>
      </c>
      <c r="P97" s="321">
        <f t="shared" si="100"/>
        <v>11.582043419607206</v>
      </c>
      <c r="Q97" s="321">
        <f t="shared" si="100"/>
        <v>20.399507317781811</v>
      </c>
      <c r="R97" s="321">
        <f t="shared" si="100"/>
        <v>13.562644650221907</v>
      </c>
      <c r="S97" s="322">
        <f t="shared" si="100"/>
        <v>1</v>
      </c>
      <c r="T97" s="323">
        <v>1</v>
      </c>
      <c r="U97" s="324">
        <v>1</v>
      </c>
      <c r="V97" s="324">
        <v>1</v>
      </c>
      <c r="W97" s="324">
        <v>1</v>
      </c>
      <c r="X97" s="324">
        <v>1</v>
      </c>
      <c r="Y97" s="325">
        <f t="shared" si="56"/>
        <v>1</v>
      </c>
      <c r="Z97" s="323">
        <v>0</v>
      </c>
      <c r="AA97" s="324">
        <v>0</v>
      </c>
      <c r="AB97" s="324">
        <v>0</v>
      </c>
      <c r="AC97" s="324">
        <f t="shared" si="57"/>
        <v>533.29568859025483</v>
      </c>
      <c r="AD97" s="324">
        <f t="shared" si="51"/>
        <v>0</v>
      </c>
      <c r="AE97" s="325">
        <f t="shared" si="58"/>
        <v>0</v>
      </c>
    </row>
    <row r="98" spans="2:31" x14ac:dyDescent="0.2">
      <c r="B98" s="313">
        <v>2044</v>
      </c>
      <c r="C98" s="314">
        <f t="shared" si="52"/>
        <v>163848.29249390995</v>
      </c>
      <c r="D98" s="315">
        <f t="shared" ref="D98:H98" si="101">AD29</f>
        <v>6288.8369853835684</v>
      </c>
      <c r="E98" s="315">
        <f t="shared" si="101"/>
        <v>11134.080805734813</v>
      </c>
      <c r="F98" s="315">
        <f t="shared" si="101"/>
        <v>107855.010203666</v>
      </c>
      <c r="G98" s="315">
        <f t="shared" si="101"/>
        <v>46304.675495767347</v>
      </c>
      <c r="H98" s="316">
        <f t="shared" si="101"/>
        <v>0</v>
      </c>
      <c r="I98" s="317">
        <f>D98*I60</f>
        <v>0</v>
      </c>
      <c r="J98" s="318">
        <f>E98*J60</f>
        <v>0</v>
      </c>
      <c r="K98" s="318">
        <f>F98*K60</f>
        <v>0</v>
      </c>
      <c r="L98" s="318">
        <f>G98*L60</f>
        <v>0</v>
      </c>
      <c r="M98" s="319">
        <f>H98*M60</f>
        <v>0</v>
      </c>
      <c r="N98" s="320">
        <f t="shared" si="54"/>
        <v>8.1044204062362173</v>
      </c>
      <c r="O98" s="321">
        <f t="shared" ref="O98:S98" si="102">MAX(K29,1)</f>
        <v>10.318675350737157</v>
      </c>
      <c r="P98" s="321">
        <f t="shared" si="102"/>
        <v>12.004082953568762</v>
      </c>
      <c r="Q98" s="321">
        <f t="shared" si="102"/>
        <v>21.174918954981049</v>
      </c>
      <c r="R98" s="321">
        <f t="shared" si="102"/>
        <v>14.125066970243514</v>
      </c>
      <c r="S98" s="322">
        <f t="shared" si="102"/>
        <v>1</v>
      </c>
      <c r="T98" s="323">
        <v>1</v>
      </c>
      <c r="U98" s="324">
        <v>1</v>
      </c>
      <c r="V98" s="324">
        <v>1</v>
      </c>
      <c r="W98" s="324">
        <v>1</v>
      </c>
      <c r="X98" s="324">
        <v>1</v>
      </c>
      <c r="Y98" s="325">
        <f t="shared" si="56"/>
        <v>1</v>
      </c>
      <c r="Z98" s="323">
        <v>0</v>
      </c>
      <c r="AA98" s="324">
        <v>0</v>
      </c>
      <c r="AB98" s="324">
        <v>0</v>
      </c>
      <c r="AC98" s="324">
        <f t="shared" si="57"/>
        <v>535.11940491465873</v>
      </c>
      <c r="AD98" s="324">
        <f t="shared" si="51"/>
        <v>0</v>
      </c>
      <c r="AE98" s="325">
        <f t="shared" si="58"/>
        <v>0</v>
      </c>
    </row>
    <row r="99" spans="2:31" ht="15" thickBot="1" x14ac:dyDescent="0.25">
      <c r="B99" s="326">
        <v>2045</v>
      </c>
      <c r="C99" s="327">
        <f t="shared" si="52"/>
        <v>163848.29249390995</v>
      </c>
      <c r="D99" s="328">
        <f t="shared" ref="D99:H99" si="103">AD30</f>
        <v>6788.5091046952857</v>
      </c>
      <c r="E99" s="328">
        <f t="shared" si="103"/>
        <v>11413.470916358103</v>
      </c>
      <c r="F99" s="328">
        <f t="shared" si="103"/>
        <v>88497.117799883708</v>
      </c>
      <c r="G99" s="328">
        <f t="shared" si="103"/>
        <v>40118.960363418861</v>
      </c>
      <c r="H99" s="329">
        <f t="shared" si="103"/>
        <v>0</v>
      </c>
      <c r="I99" s="330">
        <f>D99*I60</f>
        <v>0</v>
      </c>
      <c r="J99" s="331">
        <f>E99*J60</f>
        <v>0</v>
      </c>
      <c r="K99" s="331">
        <f>F99*K60</f>
        <v>0</v>
      </c>
      <c r="L99" s="331">
        <f>G99*L60</f>
        <v>0</v>
      </c>
      <c r="M99" s="332">
        <f>H99*M60</f>
        <v>0</v>
      </c>
      <c r="N99" s="333">
        <f t="shared" si="54"/>
        <v>8.1044311458601701</v>
      </c>
      <c r="O99" s="334">
        <f t="shared" ref="O99:S99" si="104">MAX(K30,1)</f>
        <v>10.528879921947295</v>
      </c>
      <c r="P99" s="334">
        <f t="shared" si="104"/>
        <v>12.358016555563596</v>
      </c>
      <c r="Q99" s="334">
        <f t="shared" si="104"/>
        <v>21.825199821340924</v>
      </c>
      <c r="R99" s="334">
        <f t="shared" si="104"/>
        <v>14.59672931831556</v>
      </c>
      <c r="S99" s="335">
        <f t="shared" si="104"/>
        <v>1</v>
      </c>
      <c r="T99" s="336">
        <v>1</v>
      </c>
      <c r="U99" s="337">
        <v>1</v>
      </c>
      <c r="V99" s="337">
        <v>1</v>
      </c>
      <c r="W99" s="337">
        <v>1</v>
      </c>
      <c r="X99" s="337">
        <v>1</v>
      </c>
      <c r="Y99" s="338">
        <f t="shared" si="56"/>
        <v>1</v>
      </c>
      <c r="Z99" s="336">
        <v>0</v>
      </c>
      <c r="AA99" s="337">
        <v>0</v>
      </c>
      <c r="AB99" s="337">
        <v>0</v>
      </c>
      <c r="AC99" s="337">
        <f t="shared" si="57"/>
        <v>536.94312123906263</v>
      </c>
      <c r="AD99" s="337">
        <f t="shared" si="51"/>
        <v>0</v>
      </c>
      <c r="AE99" s="338">
        <f t="shared" si="58"/>
        <v>0</v>
      </c>
    </row>
    <row r="100" spans="2:31" x14ac:dyDescent="0.2">
      <c r="B100" s="365">
        <v>2046</v>
      </c>
      <c r="C100" s="301">
        <f t="shared" si="52"/>
        <v>163848.29249390995</v>
      </c>
      <c r="D100" s="302">
        <f t="shared" ref="D100:H100" si="105">AD31</f>
        <v>7168.6716749211255</v>
      </c>
      <c r="E100" s="302">
        <f t="shared" si="105"/>
        <v>11626.037634502272</v>
      </c>
      <c r="F100" s="302">
        <f t="shared" si="105"/>
        <v>73769.167518178583</v>
      </c>
      <c r="G100" s="302">
        <f t="shared" si="105"/>
        <v>35412.719465612288</v>
      </c>
      <c r="H100" s="303">
        <f t="shared" si="105"/>
        <v>0</v>
      </c>
      <c r="I100" s="366">
        <f>D100*I60</f>
        <v>0</v>
      </c>
      <c r="J100" s="367">
        <f>E100*J60</f>
        <v>0</v>
      </c>
      <c r="K100" s="367">
        <f>F100*K60</f>
        <v>0</v>
      </c>
      <c r="L100" s="367">
        <f>G100*L60</f>
        <v>0</v>
      </c>
      <c r="M100" s="368">
        <f>H100*M60</f>
        <v>0</v>
      </c>
      <c r="N100" s="307">
        <f t="shared" si="54"/>
        <v>8.1044333679487188</v>
      </c>
      <c r="O100" s="308">
        <f t="shared" ref="O100:S100" si="106">MAX(K31,1)</f>
        <v>10.688808617137539</v>
      </c>
      <c r="P100" s="308">
        <f t="shared" si="106"/>
        <v>12.627297755421194</v>
      </c>
      <c r="Q100" s="308">
        <f t="shared" si="106"/>
        <v>22.319949149889784</v>
      </c>
      <c r="R100" s="308">
        <f t="shared" si="106"/>
        <v>14.955581380681611</v>
      </c>
      <c r="S100" s="309">
        <f t="shared" si="106"/>
        <v>1</v>
      </c>
      <c r="T100" s="310">
        <v>1</v>
      </c>
      <c r="U100" s="311">
        <v>1</v>
      </c>
      <c r="V100" s="311">
        <v>1</v>
      </c>
      <c r="W100" s="311">
        <v>1</v>
      </c>
      <c r="X100" s="311">
        <v>1</v>
      </c>
      <c r="Y100" s="312">
        <f t="shared" si="56"/>
        <v>1</v>
      </c>
      <c r="Z100" s="310">
        <v>0</v>
      </c>
      <c r="AA100" s="311">
        <v>0</v>
      </c>
      <c r="AB100" s="311">
        <v>0</v>
      </c>
      <c r="AC100" s="311">
        <f t="shared" si="57"/>
        <v>538.76683756346654</v>
      </c>
      <c r="AD100" s="311">
        <f t="shared" si="51"/>
        <v>0</v>
      </c>
      <c r="AE100" s="312">
        <f t="shared" si="58"/>
        <v>0</v>
      </c>
    </row>
    <row r="101" spans="2:31" x14ac:dyDescent="0.2">
      <c r="B101" s="313">
        <v>2047</v>
      </c>
      <c r="C101" s="314">
        <f t="shared" si="52"/>
        <v>163848.29249390995</v>
      </c>
      <c r="D101" s="315">
        <f t="shared" ref="D101:H101" si="107">AD32</f>
        <v>7437.0295649088948</v>
      </c>
      <c r="E101" s="315">
        <f t="shared" si="107"/>
        <v>11776.089113607397</v>
      </c>
      <c r="F101" s="315">
        <f t="shared" si="107"/>
        <v>63372.663572260994</v>
      </c>
      <c r="G101" s="315">
        <f t="shared" si="107"/>
        <v>32090.570006344853</v>
      </c>
      <c r="H101" s="316">
        <f t="shared" si="107"/>
        <v>0</v>
      </c>
      <c r="I101" s="317">
        <f>D101*I60</f>
        <v>0</v>
      </c>
      <c r="J101" s="318">
        <f>E101*J60</f>
        <v>0</v>
      </c>
      <c r="K101" s="318">
        <f>F101*K60</f>
        <v>0</v>
      </c>
      <c r="L101" s="318">
        <f>G101*L60</f>
        <v>0</v>
      </c>
      <c r="M101" s="319">
        <f>H101*M60</f>
        <v>0</v>
      </c>
      <c r="N101" s="320">
        <f t="shared" si="54"/>
        <v>8.1044320169487083</v>
      </c>
      <c r="O101" s="321">
        <f t="shared" ref="O101:S101" si="108">MAX(K32,1)</f>
        <v>10.801702759146982</v>
      </c>
      <c r="P101" s="321">
        <f t="shared" si="108"/>
        <v>12.817384155995111</v>
      </c>
      <c r="Q101" s="321">
        <f t="shared" si="108"/>
        <v>22.66919417367885</v>
      </c>
      <c r="R101" s="321">
        <f t="shared" si="108"/>
        <v>15.208896119734176</v>
      </c>
      <c r="S101" s="322">
        <f t="shared" si="108"/>
        <v>1</v>
      </c>
      <c r="T101" s="323">
        <v>1</v>
      </c>
      <c r="U101" s="324">
        <v>1</v>
      </c>
      <c r="V101" s="324">
        <v>1</v>
      </c>
      <c r="W101" s="324">
        <v>1</v>
      </c>
      <c r="X101" s="324">
        <v>1</v>
      </c>
      <c r="Y101" s="325">
        <f t="shared" si="56"/>
        <v>1</v>
      </c>
      <c r="Z101" s="323">
        <v>0</v>
      </c>
      <c r="AA101" s="324">
        <v>0</v>
      </c>
      <c r="AB101" s="324">
        <v>0</v>
      </c>
      <c r="AC101" s="324">
        <f t="shared" si="57"/>
        <v>540.59055388787044</v>
      </c>
      <c r="AD101" s="324">
        <f t="shared" si="51"/>
        <v>0</v>
      </c>
      <c r="AE101" s="325">
        <f t="shared" si="58"/>
        <v>0</v>
      </c>
    </row>
    <row r="102" spans="2:31" x14ac:dyDescent="0.2">
      <c r="B102" s="313">
        <v>2048</v>
      </c>
      <c r="C102" s="314">
        <f t="shared" si="52"/>
        <v>163848.29249390995</v>
      </c>
      <c r="D102" s="315">
        <f t="shared" ref="D102:H102" si="109">AD33</f>
        <v>7616.6018916890653</v>
      </c>
      <c r="E102" s="315">
        <f t="shared" si="109"/>
        <v>11876.496421329713</v>
      </c>
      <c r="F102" s="315">
        <f t="shared" si="109"/>
        <v>56415.81798060445</v>
      </c>
      <c r="G102" s="315">
        <f t="shared" si="109"/>
        <v>29867.545714644868</v>
      </c>
      <c r="H102" s="316">
        <f t="shared" si="109"/>
        <v>0</v>
      </c>
      <c r="I102" s="317">
        <f>D102*I60</f>
        <v>0</v>
      </c>
      <c r="J102" s="318">
        <f>E102*J60</f>
        <v>0</v>
      </c>
      <c r="K102" s="318">
        <f>F102*K60</f>
        <v>0</v>
      </c>
      <c r="L102" s="318">
        <f>G102*L60</f>
        <v>0</v>
      </c>
      <c r="M102" s="319">
        <f>H102*M60</f>
        <v>0</v>
      </c>
      <c r="N102" s="320">
        <f t="shared" si="54"/>
        <v>8.1044267226986744</v>
      </c>
      <c r="O102" s="321">
        <f t="shared" ref="O102:S102" si="110">MAX(K33,1)</f>
        <v>10.877246145486064</v>
      </c>
      <c r="P102" s="321">
        <f t="shared" si="110"/>
        <v>12.944580927596949</v>
      </c>
      <c r="Q102" s="321">
        <f t="shared" si="110"/>
        <v>22.902892320362959</v>
      </c>
      <c r="R102" s="321">
        <f t="shared" si="110"/>
        <v>15.378402285926851</v>
      </c>
      <c r="S102" s="322">
        <f t="shared" si="110"/>
        <v>1</v>
      </c>
      <c r="T102" s="323">
        <v>1</v>
      </c>
      <c r="U102" s="324">
        <v>1</v>
      </c>
      <c r="V102" s="324">
        <v>1</v>
      </c>
      <c r="W102" s="324">
        <v>1</v>
      </c>
      <c r="X102" s="324">
        <v>1</v>
      </c>
      <c r="Y102" s="325">
        <f t="shared" si="56"/>
        <v>1</v>
      </c>
      <c r="Z102" s="323">
        <v>0</v>
      </c>
      <c r="AA102" s="324">
        <v>0</v>
      </c>
      <c r="AB102" s="324">
        <v>0</v>
      </c>
      <c r="AC102" s="324">
        <f t="shared" si="57"/>
        <v>542.41427021227435</v>
      </c>
      <c r="AD102" s="324">
        <f t="shared" si="51"/>
        <v>0</v>
      </c>
      <c r="AE102" s="325">
        <f t="shared" si="58"/>
        <v>0</v>
      </c>
    </row>
    <row r="103" spans="2:31" x14ac:dyDescent="0.2">
      <c r="B103" s="313">
        <v>2049</v>
      </c>
      <c r="C103" s="314">
        <f t="shared" si="52"/>
        <v>163848.29249390995</v>
      </c>
      <c r="D103" s="315">
        <f t="shared" ref="D103:H103" si="111">AD34</f>
        <v>7732.5036879633344</v>
      </c>
      <c r="E103" s="315">
        <f t="shared" si="111"/>
        <v>11941.302550050905</v>
      </c>
      <c r="F103" s="315">
        <f t="shared" si="111"/>
        <v>51925.644494893641</v>
      </c>
      <c r="G103" s="315">
        <f t="shared" si="111"/>
        <v>28432.733830268277</v>
      </c>
      <c r="H103" s="316">
        <f t="shared" si="111"/>
        <v>0</v>
      </c>
      <c r="I103" s="317">
        <f>D103*I60</f>
        <v>0</v>
      </c>
      <c r="J103" s="318">
        <f>E103*J60</f>
        <v>0</v>
      </c>
      <c r="K103" s="318">
        <f>F103*K60</f>
        <v>0</v>
      </c>
      <c r="L103" s="318">
        <f>G103*L60</f>
        <v>0</v>
      </c>
      <c r="M103" s="319">
        <f>H103*M60</f>
        <v>0</v>
      </c>
      <c r="N103" s="320">
        <f t="shared" si="54"/>
        <v>8.1044227545263041</v>
      </c>
      <c r="O103" s="321">
        <f t="shared" ref="O103:S103" si="112">MAX(K34,1)</f>
        <v>10.92600429397327</v>
      </c>
      <c r="P103" s="321">
        <f t="shared" si="112"/>
        <v>13.02667784404994</v>
      </c>
      <c r="Q103" s="321">
        <f t="shared" si="112"/>
        <v>23.053728674005654</v>
      </c>
      <c r="R103" s="321">
        <f t="shared" si="112"/>
        <v>15.48780705610252</v>
      </c>
      <c r="S103" s="322">
        <f t="shared" si="112"/>
        <v>1</v>
      </c>
      <c r="T103" s="323">
        <v>1</v>
      </c>
      <c r="U103" s="324">
        <v>1</v>
      </c>
      <c r="V103" s="324">
        <v>1</v>
      </c>
      <c r="W103" s="324">
        <v>1</v>
      </c>
      <c r="X103" s="324">
        <v>1</v>
      </c>
      <c r="Y103" s="325">
        <f t="shared" si="56"/>
        <v>1</v>
      </c>
      <c r="Z103" s="323">
        <v>0</v>
      </c>
      <c r="AA103" s="324">
        <v>0</v>
      </c>
      <c r="AB103" s="324">
        <v>0</v>
      </c>
      <c r="AC103" s="324">
        <f t="shared" si="57"/>
        <v>544.23798653667825</v>
      </c>
      <c r="AD103" s="324">
        <f t="shared" si="51"/>
        <v>0</v>
      </c>
      <c r="AE103" s="325">
        <f t="shared" si="58"/>
        <v>0</v>
      </c>
    </row>
    <row r="104" spans="2:31" ht="15" thickBot="1" x14ac:dyDescent="0.25">
      <c r="B104" s="326">
        <v>2050</v>
      </c>
      <c r="C104" s="327">
        <f t="shared" si="52"/>
        <v>163848.29249390995</v>
      </c>
      <c r="D104" s="328">
        <f t="shared" ref="D104:H104" si="113">AD35</f>
        <v>7922.5870963384223</v>
      </c>
      <c r="E104" s="328">
        <f t="shared" si="113"/>
        <v>12047.587096338422</v>
      </c>
      <c r="F104" s="328">
        <f t="shared" si="113"/>
        <v>44561.587096338422</v>
      </c>
      <c r="G104" s="328">
        <f t="shared" si="113"/>
        <v>26079.587096338422</v>
      </c>
      <c r="H104" s="329">
        <f t="shared" si="113"/>
        <v>0</v>
      </c>
      <c r="I104" s="330">
        <f>D104*I60</f>
        <v>0</v>
      </c>
      <c r="J104" s="331">
        <f>E104*J60</f>
        <v>0</v>
      </c>
      <c r="K104" s="331">
        <f>F104*K60</f>
        <v>0</v>
      </c>
      <c r="L104" s="331">
        <f>G104*L60</f>
        <v>0</v>
      </c>
      <c r="M104" s="332">
        <f>H104*M60</f>
        <v>0</v>
      </c>
      <c r="N104" s="333">
        <f t="shared" si="54"/>
        <v>8.1044081378346959</v>
      </c>
      <c r="O104" s="334">
        <f t="shared" ref="O104:S104" si="114">MAX(K35,1)</f>
        <v>11.00596953479296</v>
      </c>
      <c r="P104" s="334">
        <f t="shared" si="114"/>
        <v>13.16131994795264</v>
      </c>
      <c r="Q104" s="348">
        <f t="shared" si="114"/>
        <v>23.30110610152564</v>
      </c>
      <c r="R104" s="348">
        <f t="shared" si="114"/>
        <v>15.667235091525489</v>
      </c>
      <c r="S104" s="349">
        <f t="shared" si="114"/>
        <v>1</v>
      </c>
      <c r="T104" s="336">
        <v>1</v>
      </c>
      <c r="U104" s="337">
        <v>1</v>
      </c>
      <c r="V104" s="337">
        <v>1</v>
      </c>
      <c r="W104" s="337">
        <v>1</v>
      </c>
      <c r="X104" s="337">
        <v>1</v>
      </c>
      <c r="Y104" s="338">
        <f t="shared" si="56"/>
        <v>1</v>
      </c>
      <c r="Z104" s="336">
        <v>0</v>
      </c>
      <c r="AA104" s="337">
        <v>0</v>
      </c>
      <c r="AB104" s="337">
        <v>0</v>
      </c>
      <c r="AC104" s="337">
        <f t="shared" si="57"/>
        <v>546.06170286108238</v>
      </c>
      <c r="AD104" s="337">
        <f t="shared" si="51"/>
        <v>0</v>
      </c>
      <c r="AE104" s="338">
        <f t="shared" si="58"/>
        <v>0</v>
      </c>
    </row>
    <row r="105" spans="2:31" x14ac:dyDescent="0.2">
      <c r="I105" s="22"/>
      <c r="J105" s="257"/>
      <c r="AB105" s="22"/>
      <c r="AC105" s="191"/>
    </row>
  </sheetData>
  <mergeCells count="8">
    <mergeCell ref="G4:H4"/>
    <mergeCell ref="O4:P4"/>
    <mergeCell ref="Z4:AA4"/>
    <mergeCell ref="C58:H58"/>
    <mergeCell ref="I58:M58"/>
    <mergeCell ref="N58:S58"/>
    <mergeCell ref="T58:Y58"/>
    <mergeCell ref="Z58:AE58"/>
  </mergeCells>
  <conditionalFormatting sqref="K6:N35">
    <cfRule type="expression" dxfId="65" priority="8">
      <formula>K6&lt;$J6</formula>
    </cfRule>
  </conditionalFormatting>
  <conditionalFormatting sqref="U61:U104">
    <cfRule type="expression" dxfId="64" priority="6">
      <formula>AND($G$9="N/A",U61&gt;1)</formula>
    </cfRule>
  </conditionalFormatting>
  <conditionalFormatting sqref="Z59:AE59">
    <cfRule type="expression" dxfId="63" priority="1">
      <formula>INDEX($H$8:$H$13,MATCH(Y$20,$B$8:$B$13,0))=TRUE</formula>
    </cfRule>
  </conditionalFormatting>
  <conditionalFormatting sqref="T61:T104">
    <cfRule type="expression" dxfId="62" priority="9">
      <formula>AND($G$8="N/A",$U61&gt;1)</formula>
    </cfRule>
  </conditionalFormatting>
  <conditionalFormatting sqref="V61:V104">
    <cfRule type="expression" dxfId="61" priority="10">
      <formula>AND($G$10="N/A",$W61&gt;1)</formula>
    </cfRule>
  </conditionalFormatting>
  <conditionalFormatting sqref="W61:W104">
    <cfRule type="expression" dxfId="60" priority="11">
      <formula>AND($G$11="N/A",$X61&gt;1)</formula>
    </cfRule>
  </conditionalFormatting>
  <conditionalFormatting sqref="X61:X104">
    <cfRule type="expression" dxfId="59" priority="12">
      <formula>AND($G$12="N/A",$Y61&gt;1)</formula>
    </cfRule>
  </conditionalFormatting>
  <conditionalFormatting sqref="Y61:Y104">
    <cfRule type="expression" dxfId="58" priority="13">
      <formula>AND($G$13="N/A",$Z61&gt;1)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BBFE-60FF-49AB-87BC-5FA635B4BA3D}">
  <sheetPr codeName="Sheet10"/>
  <dimension ref="A1:AN104"/>
  <sheetViews>
    <sheetView topLeftCell="G1" zoomScaleNormal="100" workbookViewId="0">
      <selection activeCell="N61" sqref="N61:AE104"/>
    </sheetView>
  </sheetViews>
  <sheetFormatPr baseColWidth="10" defaultColWidth="9.1640625" defaultRowHeight="14" x14ac:dyDescent="0.2"/>
  <cols>
    <col min="1" max="8" width="9.1640625" style="22"/>
    <col min="9" max="9" width="9.1640625" style="257"/>
    <col min="10" max="27" width="9.1640625" style="22"/>
    <col min="28" max="28" width="9.1640625" style="191" customWidth="1"/>
    <col min="29" max="16384" width="9.1640625" style="22"/>
  </cols>
  <sheetData>
    <row r="1" spans="1:40" x14ac:dyDescent="0.2">
      <c r="C1" s="22" t="s">
        <v>113</v>
      </c>
      <c r="J1" s="22" t="s">
        <v>131</v>
      </c>
      <c r="K1" s="22" t="s">
        <v>133</v>
      </c>
      <c r="Q1" s="192" t="s">
        <v>137</v>
      </c>
      <c r="R1" s="193"/>
      <c r="V1" s="22" t="s">
        <v>136</v>
      </c>
      <c r="AC1" s="22" t="s">
        <v>218</v>
      </c>
    </row>
    <row r="2" spans="1:40" x14ac:dyDescent="0.2">
      <c r="C2" s="22" t="s">
        <v>223</v>
      </c>
      <c r="J2" s="22" t="s">
        <v>297</v>
      </c>
      <c r="Q2" s="192"/>
      <c r="R2" s="193"/>
      <c r="AC2" s="22">
        <f>'Class 8 Day Cab'!D83</f>
        <v>138005</v>
      </c>
    </row>
    <row r="3" spans="1:40" x14ac:dyDescent="0.2">
      <c r="C3" s="177">
        <f>Constant!$D$18</f>
        <v>1.0024411160324416</v>
      </c>
      <c r="D3" s="177">
        <f>Constant!$D$18</f>
        <v>1.0024411160324416</v>
      </c>
      <c r="E3" s="177">
        <v>1</v>
      </c>
      <c r="F3" s="177">
        <f>Constant!$D$18</f>
        <v>1.0024411160324416</v>
      </c>
      <c r="G3" s="177"/>
      <c r="Q3" s="192"/>
      <c r="R3" s="193" t="s">
        <v>191</v>
      </c>
      <c r="AC3" s="194"/>
      <c r="AD3" s="22" t="s">
        <v>190</v>
      </c>
      <c r="AJ3" s="22" t="s">
        <v>222</v>
      </c>
    </row>
    <row r="4" spans="1:40" x14ac:dyDescent="0.2">
      <c r="B4" s="22" t="s">
        <v>135</v>
      </c>
      <c r="C4" s="22" t="s">
        <v>115</v>
      </c>
      <c r="D4" s="22" t="s">
        <v>86</v>
      </c>
      <c r="E4" s="22" t="s">
        <v>80</v>
      </c>
      <c r="F4" s="22" t="s">
        <v>116</v>
      </c>
      <c r="G4" s="377" t="s">
        <v>117</v>
      </c>
      <c r="H4" s="377"/>
      <c r="I4" s="258" t="s">
        <v>266</v>
      </c>
      <c r="J4" s="22" t="s">
        <v>49</v>
      </c>
      <c r="K4" s="22" t="s">
        <v>134</v>
      </c>
      <c r="L4" s="22" t="s">
        <v>86</v>
      </c>
      <c r="M4" s="22" t="s">
        <v>80</v>
      </c>
      <c r="N4" s="22" t="s">
        <v>116</v>
      </c>
      <c r="O4" s="377" t="s">
        <v>117</v>
      </c>
      <c r="P4" s="377"/>
      <c r="Q4" s="196" t="s">
        <v>80</v>
      </c>
      <c r="R4" s="197" t="s">
        <v>116</v>
      </c>
      <c r="S4" s="198" t="s">
        <v>117</v>
      </c>
      <c r="V4" s="22" t="s">
        <v>115</v>
      </c>
      <c r="W4" s="22" t="s">
        <v>86</v>
      </c>
      <c r="X4" s="22" t="s">
        <v>80</v>
      </c>
      <c r="Y4" s="22" t="s">
        <v>116</v>
      </c>
      <c r="Z4" s="377" t="s">
        <v>117</v>
      </c>
      <c r="AA4" s="377"/>
      <c r="AB4" s="195"/>
      <c r="AC4" s="22" t="s">
        <v>49</v>
      </c>
      <c r="AD4" s="22" t="s">
        <v>134</v>
      </c>
      <c r="AE4" s="22" t="s">
        <v>86</v>
      </c>
      <c r="AF4" s="22" t="s">
        <v>80</v>
      </c>
      <c r="AG4" s="22" t="s">
        <v>116</v>
      </c>
      <c r="AH4" s="199" t="s">
        <v>117</v>
      </c>
      <c r="AI4" s="199"/>
      <c r="AJ4" s="22" t="s">
        <v>134</v>
      </c>
      <c r="AK4" s="22" t="s">
        <v>86</v>
      </c>
      <c r="AL4" s="22" t="s">
        <v>80</v>
      </c>
      <c r="AM4" s="22" t="s">
        <v>116</v>
      </c>
      <c r="AN4" s="199" t="s">
        <v>117</v>
      </c>
    </row>
    <row r="5" spans="1:40" x14ac:dyDescent="0.2">
      <c r="C5" s="198"/>
      <c r="D5" s="198"/>
      <c r="E5" s="198"/>
      <c r="F5" s="198"/>
      <c r="G5" s="198" t="s">
        <v>118</v>
      </c>
      <c r="H5" s="198" t="s">
        <v>119</v>
      </c>
      <c r="I5" s="258" t="s">
        <v>205</v>
      </c>
      <c r="J5" s="195" t="s">
        <v>201</v>
      </c>
      <c r="K5" s="198"/>
      <c r="L5" s="198"/>
      <c r="M5" s="198"/>
      <c r="N5" s="198"/>
      <c r="O5" s="198" t="s">
        <v>118</v>
      </c>
      <c r="P5" s="198" t="s">
        <v>119</v>
      </c>
      <c r="Q5" s="196" t="s">
        <v>119</v>
      </c>
      <c r="R5" s="197"/>
      <c r="S5" s="198" t="s">
        <v>119</v>
      </c>
      <c r="V5" s="198"/>
      <c r="W5" s="198"/>
      <c r="X5" s="198"/>
      <c r="Y5" s="198"/>
      <c r="Z5" s="198"/>
      <c r="AA5" s="198"/>
      <c r="AB5" s="195"/>
      <c r="AC5" s="217" t="s">
        <v>131</v>
      </c>
      <c r="AD5" s="198"/>
      <c r="AE5" s="198"/>
      <c r="AF5" s="198"/>
      <c r="AG5" s="198"/>
      <c r="AH5" s="198"/>
      <c r="AI5" s="198"/>
    </row>
    <row r="6" spans="1:40" x14ac:dyDescent="0.2">
      <c r="A6" s="200">
        <v>2021</v>
      </c>
      <c r="B6" s="201">
        <f>Constant!U30</f>
        <v>6.2592260992703235</v>
      </c>
      <c r="C6" s="201">
        <f>C$3*'Class 8 Day Cab'!$D67</f>
        <v>6.999934412031342</v>
      </c>
      <c r="D6" s="201">
        <f>D$3*'Class 8 Day Cab'!$N67</f>
        <v>7.4104863651829067</v>
      </c>
      <c r="E6" s="201">
        <f>E3*'Class 8 Day Cab'!$I78</f>
        <v>14.901348039535684</v>
      </c>
      <c r="F6" s="201">
        <f>F$3*'Class 8 Day Cab'!$S67</f>
        <v>9.4536612799944049</v>
      </c>
      <c r="G6" s="201"/>
      <c r="H6" s="201"/>
      <c r="I6" s="259">
        <f>Constant!U50</f>
        <v>6.3965130675864632</v>
      </c>
      <c r="J6" s="203">
        <v>6.3480818446503209</v>
      </c>
      <c r="K6" s="203">
        <f>C6/B6*J6</f>
        <v>7.0993052255995961</v>
      </c>
      <c r="L6" s="203">
        <f>$K6*D6/$C6</f>
        <v>7.5156853593019077</v>
      </c>
      <c r="M6" s="203">
        <f>$K6*E6/$C6</f>
        <v>15.112887032730717</v>
      </c>
      <c r="N6" s="203">
        <f>$K6*F6/$C6</f>
        <v>9.5878651106727446</v>
      </c>
      <c r="Q6" s="204">
        <f>'Class 8 Day Cab'!I73</f>
        <v>293.45075177780529</v>
      </c>
      <c r="R6" s="205"/>
      <c r="S6" s="200"/>
      <c r="U6" s="200">
        <v>2021</v>
      </c>
      <c r="V6" s="206">
        <f>'Class 8 Day Cab'!D$83</f>
        <v>138005</v>
      </c>
      <c r="W6" s="206">
        <f>'Class 8 Day Cab'!$N$83</f>
        <v>147704</v>
      </c>
      <c r="X6" s="206">
        <f>'Class 8 Day Cab'!$I$83</f>
        <v>588044</v>
      </c>
      <c r="Y6" s="206">
        <f>'Class 8 Day Cab'!$S$83</f>
        <v>269850</v>
      </c>
      <c r="Z6" s="201"/>
      <c r="AA6" s="201"/>
      <c r="AB6" s="202"/>
      <c r="AC6" s="218">
        <f>AC2</f>
        <v>138005</v>
      </c>
      <c r="AD6" s="206">
        <f t="shared" ref="AD6" si="0">V6-$AC6</f>
        <v>0</v>
      </c>
      <c r="AE6" s="206">
        <f>W6-$AC6</f>
        <v>9699</v>
      </c>
      <c r="AF6" s="206">
        <f>X6-$AC6</f>
        <v>450039</v>
      </c>
      <c r="AG6" s="206">
        <f>Y6-$AC6</f>
        <v>131845</v>
      </c>
      <c r="AH6" s="200"/>
      <c r="AJ6" s="212">
        <f>AD6/(100000*(1/$J6-1/K6))</f>
        <v>0</v>
      </c>
      <c r="AK6" s="212">
        <f>AE6/(100000*(1/$J6-1/L6))</f>
        <v>3.963169741000161</v>
      </c>
      <c r="AL6" s="212">
        <f>AF6/(100000*(1/$J6-1/M6))</f>
        <v>49.260388971739452</v>
      </c>
      <c r="AM6" s="212">
        <f>AG6/(100000*(1/$J6-1/N6))</f>
        <v>24.76920910219593</v>
      </c>
      <c r="AN6" s="212"/>
    </row>
    <row r="7" spans="1:40" x14ac:dyDescent="0.2">
      <c r="A7" s="22">
        <v>2022</v>
      </c>
      <c r="B7" s="203">
        <f>B6</f>
        <v>6.2592260992703235</v>
      </c>
      <c r="C7" s="203">
        <f t="shared" ref="C7:F11" si="1">C$6+(C$12-C$6)/(1+EXP(-($A7-$A$6-($A$12-$A$6)*$C$42)/$C$39))</f>
        <v>7.1127175355691081</v>
      </c>
      <c r="D7" s="203">
        <f t="shared" si="1"/>
        <v>7.5326360236828904</v>
      </c>
      <c r="E7" s="203">
        <f t="shared" si="1"/>
        <v>15.039191361709776</v>
      </c>
      <c r="F7" s="203">
        <f t="shared" si="1"/>
        <v>9.5661542328818197</v>
      </c>
      <c r="G7" s="203"/>
      <c r="H7" s="203"/>
      <c r="I7" s="260">
        <f>I6</f>
        <v>6.3965130675864632</v>
      </c>
      <c r="J7" s="203">
        <v>6.4291000607445872</v>
      </c>
      <c r="K7" s="203">
        <f t="shared" ref="K7:K35" si="2">K6*C7/C6</f>
        <v>7.2136894142449801</v>
      </c>
      <c r="L7" s="203">
        <f t="shared" ref="L7:N35" si="3">$K7*D7/$C7</f>
        <v>7.6395690498981583</v>
      </c>
      <c r="M7" s="203">
        <f t="shared" si="3"/>
        <v>15.252687173678117</v>
      </c>
      <c r="N7" s="203">
        <f t="shared" si="3"/>
        <v>9.701955009415812</v>
      </c>
      <c r="Q7" s="208">
        <f>Q6+(Q$12-Q$6)/($A$12-$A$6)</f>
        <v>292.03812129765282</v>
      </c>
      <c r="R7" s="209"/>
      <c r="U7" s="22">
        <v>2022</v>
      </c>
      <c r="V7" s="186">
        <f>V6+(V$12-V$6)/($A$12-$A$6)</f>
        <v>139788.33333333334</v>
      </c>
      <c r="W7" s="186">
        <f>W6+(W$12-W$6)/($A$12-$A$6)</f>
        <v>149062.5</v>
      </c>
      <c r="X7" s="186">
        <f>X6+(X$12-X$6)/($A$12-$A$6)</f>
        <v>556810.83333333337</v>
      </c>
      <c r="Y7" s="186">
        <f>Y6+(Y$12-Y$6)/($A$12-$A$6)</f>
        <v>261697.16666666666</v>
      </c>
      <c r="Z7" s="203"/>
      <c r="AA7" s="203"/>
      <c r="AB7" s="202"/>
      <c r="AC7" s="207">
        <f t="shared" ref="AC7:AG11" si="4">AC$6+(AC$12-AC$6)*(J7-J$6)/(J$12-J$6)</f>
        <v>138005</v>
      </c>
      <c r="AD7" s="186">
        <f t="shared" si="4"/>
        <v>1176.8240328004006</v>
      </c>
      <c r="AE7" s="186">
        <f t="shared" si="4"/>
        <v>10595.475952463183</v>
      </c>
      <c r="AF7" s="186">
        <f t="shared" si="4"/>
        <v>429428.19187637744</v>
      </c>
      <c r="AG7" s="186">
        <f t="shared" si="4"/>
        <v>126464.93446612166</v>
      </c>
      <c r="AJ7" s="212">
        <f t="shared" ref="AJ7:AJ35" si="5">AD7/(100000*(1/$J7-1/K7))</f>
        <v>0.69562750092946513</v>
      </c>
      <c r="AK7" s="212">
        <f t="shared" ref="AK7:AK35" si="6">AE7/(100000*(1/$J7-1/L7))</f>
        <v>4.2991821706791367</v>
      </c>
      <c r="AL7" s="212">
        <f t="shared" ref="AL7:AL35" si="7">AF7/(100000*(1/$J7-1/M7))</f>
        <v>47.724558878191452</v>
      </c>
      <c r="AM7" s="212">
        <f t="shared" ref="AM7:AM35" si="8">AG7/(100000*(1/$J7-1/N7))</f>
        <v>24.101984715244331</v>
      </c>
    </row>
    <row r="8" spans="1:40" x14ac:dyDescent="0.2">
      <c r="A8" s="22">
        <v>2023</v>
      </c>
      <c r="B8" s="203">
        <f>B7</f>
        <v>6.2592260992703235</v>
      </c>
      <c r="C8" s="203">
        <f t="shared" si="1"/>
        <v>7.240634654926323</v>
      </c>
      <c r="D8" s="203">
        <f t="shared" si="1"/>
        <v>7.6711765424738356</v>
      </c>
      <c r="E8" s="203">
        <f t="shared" si="1"/>
        <v>15.195531425205482</v>
      </c>
      <c r="F8" s="203">
        <f t="shared" si="1"/>
        <v>9.6937422445449872</v>
      </c>
      <c r="G8" s="203"/>
      <c r="H8" s="203"/>
      <c r="I8" s="260">
        <f>I7</f>
        <v>6.3965130675864632</v>
      </c>
      <c r="J8" s="203">
        <v>6.5254599640226782</v>
      </c>
      <c r="K8" s="203">
        <f t="shared" si="2"/>
        <v>7.3434224403624055</v>
      </c>
      <c r="L8" s="203">
        <f t="shared" si="3"/>
        <v>7.7800762848401535</v>
      </c>
      <c r="M8" s="203">
        <f t="shared" si="3"/>
        <v>15.411246635012207</v>
      </c>
      <c r="N8" s="203">
        <f t="shared" si="3"/>
        <v>9.8313542558383702</v>
      </c>
      <c r="Q8" s="208">
        <f t="shared" ref="Q8:Q11" si="9">Q7+(Q$12-Q$6)/($A$12-$A$6)</f>
        <v>290.62549081750035</v>
      </c>
      <c r="R8" s="209"/>
      <c r="U8" s="22">
        <v>2023</v>
      </c>
      <c r="V8" s="186">
        <f t="shared" ref="V8:Y11" si="10">V7+(V$12-V$6)/($A$12-$A$6)</f>
        <v>141571.66666666669</v>
      </c>
      <c r="W8" s="186">
        <f t="shared" si="10"/>
        <v>150421</v>
      </c>
      <c r="X8" s="186">
        <f>X7+(X$12-X$6)/($A$12-$A$6)</f>
        <v>525577.66666666674</v>
      </c>
      <c r="Y8" s="186">
        <f t="shared" si="10"/>
        <v>253544.33333333331</v>
      </c>
      <c r="Z8" s="203"/>
      <c r="AA8" s="203"/>
      <c r="AB8" s="202"/>
      <c r="AC8" s="207">
        <f t="shared" si="4"/>
        <v>138005</v>
      </c>
      <c r="AD8" s="186">
        <f t="shared" si="4"/>
        <v>2511.5622058902827</v>
      </c>
      <c r="AE8" s="186">
        <f t="shared" si="4"/>
        <v>11612.247059832867</v>
      </c>
      <c r="AF8" s="186">
        <f t="shared" si="4"/>
        <v>406051.6873063895</v>
      </c>
      <c r="AG8" s="186">
        <f t="shared" si="4"/>
        <v>120362.9356611649</v>
      </c>
      <c r="AJ8" s="212">
        <f t="shared" si="5"/>
        <v>1.4713642505263429</v>
      </c>
      <c r="AK8" s="212">
        <f t="shared" si="6"/>
        <v>4.6989445398519232</v>
      </c>
      <c r="AL8" s="212">
        <f t="shared" si="7"/>
        <v>45.955165786484599</v>
      </c>
      <c r="AM8" s="212">
        <f t="shared" si="8"/>
        <v>23.35760360990761</v>
      </c>
    </row>
    <row r="9" spans="1:40" x14ac:dyDescent="0.2">
      <c r="A9" s="22">
        <v>2024</v>
      </c>
      <c r="B9" s="201">
        <f>Constant!V30</f>
        <v>6.6640472518268812</v>
      </c>
      <c r="C9" s="203">
        <f t="shared" si="1"/>
        <v>7.443174453673512</v>
      </c>
      <c r="D9" s="203">
        <f t="shared" si="1"/>
        <v>7.8905370857322428</v>
      </c>
      <c r="E9" s="203">
        <f t="shared" si="1"/>
        <v>15.443075187570212</v>
      </c>
      <c r="F9" s="203">
        <f t="shared" si="1"/>
        <v>9.8957609448930448</v>
      </c>
      <c r="G9" s="203"/>
      <c r="H9" s="203"/>
      <c r="I9" s="259">
        <f>Constant!V50</f>
        <v>6.7885402025187291</v>
      </c>
      <c r="J9" s="203">
        <v>6.6581303524586453</v>
      </c>
      <c r="K9" s="203">
        <f t="shared" si="2"/>
        <v>7.5488374867043246</v>
      </c>
      <c r="L9" s="203">
        <f t="shared" si="3"/>
        <v>8.002550862368782</v>
      </c>
      <c r="M9" s="203">
        <f t="shared" si="3"/>
        <v>15.662304519597519</v>
      </c>
      <c r="N9" s="203">
        <f t="shared" si="3"/>
        <v>10.036240806287292</v>
      </c>
      <c r="Q9" s="208">
        <f t="shared" si="9"/>
        <v>289.21286033734788</v>
      </c>
      <c r="R9" s="209"/>
      <c r="U9" s="22">
        <v>2024</v>
      </c>
      <c r="V9" s="186">
        <f t="shared" si="10"/>
        <v>143355.00000000003</v>
      </c>
      <c r="W9" s="186">
        <f t="shared" si="10"/>
        <v>151779.5</v>
      </c>
      <c r="X9" s="186">
        <f>X8+(X$12-X$6)/($A$12-$A$6)</f>
        <v>494344.50000000006</v>
      </c>
      <c r="Y9" s="186">
        <f t="shared" si="10"/>
        <v>245391.49999999997</v>
      </c>
      <c r="Z9" s="203"/>
      <c r="AA9" s="203"/>
      <c r="AB9" s="202"/>
      <c r="AC9" s="207">
        <f t="shared" si="4"/>
        <v>138005</v>
      </c>
      <c r="AD9" s="186">
        <f t="shared" si="4"/>
        <v>4624.9431381397308</v>
      </c>
      <c r="AE9" s="186">
        <f t="shared" si="4"/>
        <v>13222.169300838961</v>
      </c>
      <c r="AF9" s="186">
        <f t="shared" si="4"/>
        <v>369038.09166876168</v>
      </c>
      <c r="AG9" s="186">
        <f t="shared" si="4"/>
        <v>110701.22958052511</v>
      </c>
      <c r="AJ9" s="212">
        <f t="shared" si="5"/>
        <v>2.6097796245477647</v>
      </c>
      <c r="AK9" s="212">
        <f t="shared" si="6"/>
        <v>5.2402055291983833</v>
      </c>
      <c r="AL9" s="212">
        <f t="shared" si="7"/>
        <v>42.740073630732475</v>
      </c>
      <c r="AM9" s="212">
        <f t="shared" si="8"/>
        <v>21.897874665763972</v>
      </c>
    </row>
    <row r="10" spans="1:40" x14ac:dyDescent="0.2">
      <c r="A10" s="22">
        <v>2025</v>
      </c>
      <c r="B10" s="203">
        <f>B9</f>
        <v>6.6640472518268812</v>
      </c>
      <c r="C10" s="203">
        <f t="shared" si="1"/>
        <v>7.6705108487162645</v>
      </c>
      <c r="D10" s="203">
        <f t="shared" si="1"/>
        <v>8.1367535598644825</v>
      </c>
      <c r="E10" s="203">
        <f t="shared" si="1"/>
        <v>15.720925303445764</v>
      </c>
      <c r="F10" s="203">
        <f t="shared" si="1"/>
        <v>10.122512444363403</v>
      </c>
      <c r="G10" s="203"/>
      <c r="H10" s="203"/>
      <c r="I10" s="260">
        <f>I9</f>
        <v>6.7885402025187291</v>
      </c>
      <c r="J10" s="203">
        <v>6.8086034138932883</v>
      </c>
      <c r="K10" s="203">
        <f t="shared" si="2"/>
        <v>7.7794011409182842</v>
      </c>
      <c r="L10" s="203">
        <f t="shared" si="3"/>
        <v>8.2522626165862718</v>
      </c>
      <c r="M10" s="203">
        <f t="shared" si="3"/>
        <v>15.944098985582571</v>
      </c>
      <c r="N10" s="203">
        <f t="shared" si="3"/>
        <v>10.266211261772648</v>
      </c>
      <c r="Q10" s="208">
        <f t="shared" si="9"/>
        <v>287.8002298571954</v>
      </c>
      <c r="R10" s="209"/>
      <c r="U10" s="22">
        <v>2025</v>
      </c>
      <c r="V10" s="186">
        <f t="shared" si="10"/>
        <v>145138.33333333337</v>
      </c>
      <c r="W10" s="186">
        <f t="shared" si="10"/>
        <v>153138</v>
      </c>
      <c r="X10" s="186">
        <f>X9+(X$12-X$6)/($A$12-$A$6)</f>
        <v>463111.33333333337</v>
      </c>
      <c r="Y10" s="186">
        <f t="shared" si="10"/>
        <v>237238.66666666663</v>
      </c>
      <c r="Z10" s="203"/>
      <c r="AA10" s="203"/>
      <c r="AB10" s="202"/>
      <c r="AC10" s="207">
        <f t="shared" si="4"/>
        <v>138005</v>
      </c>
      <c r="AD10" s="186">
        <f t="shared" si="4"/>
        <v>6997.0616326849868</v>
      </c>
      <c r="AE10" s="186">
        <f t="shared" si="4"/>
        <v>15029.191529721053</v>
      </c>
      <c r="AF10" s="186">
        <f t="shared" si="4"/>
        <v>327492.98570994998</v>
      </c>
      <c r="AG10" s="186">
        <f t="shared" si="4"/>
        <v>99856.657580742802</v>
      </c>
      <c r="AJ10" s="212">
        <f t="shared" si="5"/>
        <v>3.8176064257646627</v>
      </c>
      <c r="AK10" s="212">
        <f t="shared" si="6"/>
        <v>5.8492746505610764</v>
      </c>
      <c r="AL10" s="212">
        <f t="shared" si="7"/>
        <v>38.915974609573198</v>
      </c>
      <c r="AM10" s="212">
        <f t="shared" si="8"/>
        <v>20.186895052033371</v>
      </c>
    </row>
    <row r="11" spans="1:40" x14ac:dyDescent="0.2">
      <c r="A11" s="22">
        <v>2026</v>
      </c>
      <c r="B11" s="203">
        <f>B10</f>
        <v>6.6640472518268812</v>
      </c>
      <c r="C11" s="203">
        <f t="shared" si="1"/>
        <v>7.8451716452004394</v>
      </c>
      <c r="D11" s="203">
        <f t="shared" si="1"/>
        <v>8.3259197752932739</v>
      </c>
      <c r="E11" s="203">
        <f t="shared" si="1"/>
        <v>15.934395401504272</v>
      </c>
      <c r="F11" s="203">
        <f t="shared" si="1"/>
        <v>10.296723870096734</v>
      </c>
      <c r="G11" s="203"/>
      <c r="H11" s="203"/>
      <c r="I11" s="260">
        <f>I10</f>
        <v>6.7885402025187291</v>
      </c>
      <c r="J11" s="203">
        <v>6.9782165360518356</v>
      </c>
      <c r="K11" s="203">
        <f t="shared" si="2"/>
        <v>7.9565414156980392</v>
      </c>
      <c r="L11" s="203">
        <f t="shared" si="3"/>
        <v>8.4441142287088482</v>
      </c>
      <c r="M11" s="203">
        <f t="shared" si="3"/>
        <v>16.160599497366114</v>
      </c>
      <c r="N11" s="203">
        <f t="shared" si="3"/>
        <v>10.442895786550773</v>
      </c>
      <c r="Q11" s="208">
        <f t="shared" si="9"/>
        <v>286.38759937704293</v>
      </c>
      <c r="R11" s="209"/>
      <c r="U11" s="22">
        <v>2026</v>
      </c>
      <c r="V11" s="186">
        <f t="shared" si="10"/>
        <v>146921.66666666672</v>
      </c>
      <c r="W11" s="186">
        <f t="shared" si="10"/>
        <v>154496.5</v>
      </c>
      <c r="X11" s="186">
        <f>X10+(X$12-X$6)/($A$12-$A$6)</f>
        <v>431878.16666666669</v>
      </c>
      <c r="Y11" s="186">
        <f t="shared" si="10"/>
        <v>229085.83333333328</v>
      </c>
      <c r="Z11" s="203"/>
      <c r="AA11" s="203"/>
      <c r="AB11" s="202"/>
      <c r="AC11" s="207">
        <f t="shared" si="4"/>
        <v>138005</v>
      </c>
      <c r="AD11" s="186">
        <f t="shared" si="4"/>
        <v>8819.5419510440479</v>
      </c>
      <c r="AE11" s="186">
        <f t="shared" si="4"/>
        <v>16417.512751678489</v>
      </c>
      <c r="AF11" s="186">
        <f t="shared" si="4"/>
        <v>295574.20167442027</v>
      </c>
      <c r="AG11" s="186">
        <f t="shared" si="4"/>
        <v>91524.856671100715</v>
      </c>
      <c r="AJ11" s="212">
        <f t="shared" si="5"/>
        <v>5.0053183116595035</v>
      </c>
      <c r="AK11" s="212">
        <f t="shared" si="6"/>
        <v>6.5993664152032636</v>
      </c>
      <c r="AL11" s="212">
        <f t="shared" si="7"/>
        <v>36.300535585734359</v>
      </c>
      <c r="AM11" s="212">
        <f t="shared" si="8"/>
        <v>19.250473132932157</v>
      </c>
    </row>
    <row r="12" spans="1:40" x14ac:dyDescent="0.2">
      <c r="A12" s="200">
        <v>2027</v>
      </c>
      <c r="B12" s="201">
        <f>Constant!W30</f>
        <v>7.0777995262828766</v>
      </c>
      <c r="C12" s="201">
        <f>C$3*'Class 8 Day Cab'!$E67</f>
        <v>8.0253888455054891</v>
      </c>
      <c r="D12" s="201">
        <f>D$3*'Class 8 Day Cab'!$O67</f>
        <v>8.5211038487837865</v>
      </c>
      <c r="E12" s="201">
        <f>E$3*'Class 8 Day Cab'!$J78</f>
        <v>16.154656525897085</v>
      </c>
      <c r="F12" s="201">
        <f>F$3*'Class 8 Day Cab'!$T67</f>
        <v>10.476477404025321</v>
      </c>
      <c r="G12" s="201"/>
      <c r="H12" s="201"/>
      <c r="I12" s="259">
        <f>Constant!W50</f>
        <v>7.1444757281597369</v>
      </c>
      <c r="J12" s="203">
        <v>7.1454647701784486</v>
      </c>
      <c r="K12" s="202">
        <f t="shared" si="2"/>
        <v>8.1393169728046217</v>
      </c>
      <c r="L12" s="203">
        <f t="shared" si="3"/>
        <v>8.6420691281866731</v>
      </c>
      <c r="M12" s="203">
        <f t="shared" si="3"/>
        <v>16.383987440646081</v>
      </c>
      <c r="N12" s="203">
        <f t="shared" si="3"/>
        <v>10.625201095089924</v>
      </c>
      <c r="Q12" s="204">
        <f>'Class 8 Day Cab'!J73</f>
        <v>284.97496889689052</v>
      </c>
      <c r="R12" s="205"/>
      <c r="S12" s="200"/>
      <c r="U12" s="200">
        <v>2027</v>
      </c>
      <c r="V12" s="206">
        <f>'Class 8 Day Cab'!E$83</f>
        <v>148705</v>
      </c>
      <c r="W12" s="206">
        <f>'Class 8 Day Cab'!$O$83</f>
        <v>155855</v>
      </c>
      <c r="X12" s="206">
        <f>'Class 8 Day Cab'!$J$83</f>
        <v>400645</v>
      </c>
      <c r="Y12" s="206">
        <f>'Class 8 Day Cab'!$T$83</f>
        <v>220933</v>
      </c>
      <c r="Z12" s="201"/>
      <c r="AA12" s="201"/>
      <c r="AB12" s="202"/>
      <c r="AC12" s="218">
        <f t="shared" ref="AC12:AC35" si="11">INDEX($V$6:$V$35,MATCH($J12,$K$6:$K$35,1))</f>
        <v>138005</v>
      </c>
      <c r="AD12" s="206">
        <f t="shared" ref="AD12" si="12">V12-$AC12</f>
        <v>10700</v>
      </c>
      <c r="AE12" s="206">
        <f>W12-$AC12</f>
        <v>17850</v>
      </c>
      <c r="AF12" s="206">
        <f>X12-$AC12</f>
        <v>262640</v>
      </c>
      <c r="AG12" s="206">
        <f>Y12-$AC12</f>
        <v>82928</v>
      </c>
      <c r="AH12" s="200"/>
      <c r="AJ12" s="212">
        <f t="shared" si="5"/>
        <v>6.2615293004157699</v>
      </c>
      <c r="AK12" s="212">
        <f t="shared" si="6"/>
        <v>7.3651133178358092</v>
      </c>
      <c r="AL12" s="212">
        <f t="shared" si="7"/>
        <v>33.281924385155946</v>
      </c>
      <c r="AM12" s="212">
        <f t="shared" si="8"/>
        <v>18.093496278164412</v>
      </c>
    </row>
    <row r="13" spans="1:40" x14ac:dyDescent="0.2">
      <c r="A13" s="22">
        <v>2028</v>
      </c>
      <c r="B13" s="203">
        <f t="shared" ref="B13:B35" si="13">B12</f>
        <v>7.0777995262828766</v>
      </c>
      <c r="C13" s="203">
        <f t="shared" ref="C13:F19" si="14">C$12+(C$20-C$12)/(1+EXP(-($A13-$A$12-($A$20-$A$12)*$C$43)/$C$40))</f>
        <v>8.3555439225245838</v>
      </c>
      <c r="D13" s="203">
        <f t="shared" si="14"/>
        <v>8.894563235531761</v>
      </c>
      <c r="E13" s="203">
        <f t="shared" si="14"/>
        <v>16.668193195292154</v>
      </c>
      <c r="F13" s="203">
        <f t="shared" si="14"/>
        <v>10.792051721786004</v>
      </c>
      <c r="G13" s="203"/>
      <c r="H13" s="203"/>
      <c r="I13" s="260">
        <f>I12</f>
        <v>7.1444757281597369</v>
      </c>
      <c r="J13" s="203">
        <v>7.2213425095119215</v>
      </c>
      <c r="K13" s="203">
        <f t="shared" si="2"/>
        <v>8.47415891925362</v>
      </c>
      <c r="L13" s="203">
        <f t="shared" si="3"/>
        <v>9.0208301307657983</v>
      </c>
      <c r="M13" s="203">
        <f t="shared" si="3"/>
        <v>16.904814257866995</v>
      </c>
      <c r="N13" s="203">
        <f t="shared" si="3"/>
        <v>10.945255294353959</v>
      </c>
      <c r="Q13" s="208">
        <f>Q12+(Q$20-Q$12)/($A$20-$A$12)</f>
        <v>286.58561980123517</v>
      </c>
      <c r="R13" s="209"/>
      <c r="U13" s="22">
        <v>2028</v>
      </c>
      <c r="V13" s="186">
        <f>V12+(V$20-V$12)/($A$20-$A$12)</f>
        <v>149055</v>
      </c>
      <c r="W13" s="186">
        <f>W12+(W$20-W$12)/($A$20-$A$12)</f>
        <v>156107.5</v>
      </c>
      <c r="X13" s="186">
        <f>X12+(X$20-X$12)/($A$20-$A$12)</f>
        <v>385100.25</v>
      </c>
      <c r="Y13" s="186">
        <f>Y12+(Y$20-Y$12)/($A$20-$A$12)</f>
        <v>219130.125</v>
      </c>
      <c r="Z13" s="203"/>
      <c r="AA13" s="203"/>
      <c r="AB13" s="202"/>
      <c r="AC13" s="186">
        <f t="shared" ref="AC13:AG19" si="15">AC$12+(AC$20-AC$12)*(J13-J$12)/(J$20-J$12)</f>
        <v>138718.45332461005</v>
      </c>
      <c r="AD13" s="186">
        <f t="shared" si="15"/>
        <v>10903.606584415184</v>
      </c>
      <c r="AE13" s="186">
        <f t="shared" si="15"/>
        <v>17897.396942601565</v>
      </c>
      <c r="AF13" s="186">
        <f t="shared" si="15"/>
        <v>237377.83013090739</v>
      </c>
      <c r="AG13" s="186">
        <f t="shared" si="15"/>
        <v>79682.37753190755</v>
      </c>
      <c r="AJ13" s="212">
        <f t="shared" si="5"/>
        <v>5.3259524941577281</v>
      </c>
      <c r="AK13" s="212">
        <f t="shared" si="6"/>
        <v>6.4789623437357928</v>
      </c>
      <c r="AL13" s="212">
        <f t="shared" si="7"/>
        <v>29.925224229572621</v>
      </c>
      <c r="AM13" s="212">
        <f t="shared" si="8"/>
        <v>16.912453780441041</v>
      </c>
    </row>
    <row r="14" spans="1:40" x14ac:dyDescent="0.2">
      <c r="A14" s="22">
        <v>2029</v>
      </c>
      <c r="B14" s="203">
        <f t="shared" si="13"/>
        <v>7.0777995262828766</v>
      </c>
      <c r="C14" s="203">
        <f t="shared" si="14"/>
        <v>8.6037562255777349</v>
      </c>
      <c r="D14" s="203">
        <f t="shared" si="14"/>
        <v>9.1753319437354239</v>
      </c>
      <c r="E14" s="203">
        <f t="shared" si="14"/>
        <v>17.054272732713361</v>
      </c>
      <c r="F14" s="203">
        <f t="shared" si="14"/>
        <v>11.029302134237714</v>
      </c>
      <c r="G14" s="203"/>
      <c r="H14" s="203"/>
      <c r="I14" s="260">
        <f t="shared" ref="I14:I35" si="16">I13</f>
        <v>7.1444757281597369</v>
      </c>
      <c r="J14" s="203">
        <v>7.2751615022591807</v>
      </c>
      <c r="K14" s="203">
        <f t="shared" si="2"/>
        <v>8.7258948351065779</v>
      </c>
      <c r="L14" s="203">
        <f t="shared" si="3"/>
        <v>9.3055846213091851</v>
      </c>
      <c r="M14" s="203">
        <f t="shared" si="3"/>
        <v>17.296374566317951</v>
      </c>
      <c r="N14" s="203">
        <f t="shared" si="3"/>
        <v>11.185873705006369</v>
      </c>
      <c r="Q14" s="208">
        <f t="shared" ref="Q14:Q19" si="17">Q13+(Q$20-Q$12)/($A$20-$A$12)</f>
        <v>288.19627070557982</v>
      </c>
      <c r="R14" s="209"/>
      <c r="U14" s="22">
        <v>2029</v>
      </c>
      <c r="V14" s="186">
        <f t="shared" ref="V14:Y19" si="18">V13+(V$20-V$12)/($A$20-$A$12)</f>
        <v>149405</v>
      </c>
      <c r="W14" s="186">
        <f t="shared" si="18"/>
        <v>156360</v>
      </c>
      <c r="X14" s="186">
        <f t="shared" si="18"/>
        <v>369555.5</v>
      </c>
      <c r="Y14" s="186">
        <f t="shared" si="18"/>
        <v>217327.25</v>
      </c>
      <c r="Z14" s="203"/>
      <c r="AA14" s="203"/>
      <c r="AB14" s="202"/>
      <c r="AC14" s="186">
        <f t="shared" si="15"/>
        <v>139224.49553988935</v>
      </c>
      <c r="AD14" s="186">
        <f t="shared" si="15"/>
        <v>11056.679072928076</v>
      </c>
      <c r="AE14" s="186">
        <f t="shared" si="15"/>
        <v>17933.030210419322</v>
      </c>
      <c r="AF14" s="186">
        <f t="shared" si="15"/>
        <v>218385.59951025047</v>
      </c>
      <c r="AG14" s="186">
        <f t="shared" si="15"/>
        <v>77242.301689609696</v>
      </c>
      <c r="AJ14" s="212">
        <f t="shared" si="5"/>
        <v>4.838265845536796</v>
      </c>
      <c r="AK14" s="212">
        <f t="shared" si="6"/>
        <v>5.9793425145744603</v>
      </c>
      <c r="AL14" s="212">
        <f t="shared" si="7"/>
        <v>27.422144931022459</v>
      </c>
      <c r="AM14" s="212">
        <f t="shared" si="8"/>
        <v>16.073553509024919</v>
      </c>
    </row>
    <row r="15" spans="1:40" x14ac:dyDescent="0.2">
      <c r="A15" s="22">
        <v>2030</v>
      </c>
      <c r="B15" s="203">
        <f t="shared" si="13"/>
        <v>7.0777995262828766</v>
      </c>
      <c r="C15" s="203">
        <f t="shared" si="14"/>
        <v>8.9129502089594848</v>
      </c>
      <c r="D15" s="203">
        <f t="shared" si="14"/>
        <v>9.5250809055338621</v>
      </c>
      <c r="E15" s="203">
        <f t="shared" si="14"/>
        <v>17.535205662342896</v>
      </c>
      <c r="F15" s="203">
        <f t="shared" si="14"/>
        <v>11.324841070795578</v>
      </c>
      <c r="G15" s="203"/>
      <c r="H15" s="203"/>
      <c r="I15" s="260">
        <f t="shared" si="16"/>
        <v>7.1444757281597369</v>
      </c>
      <c r="J15" s="203">
        <v>7.306923194516302</v>
      </c>
      <c r="K15" s="203">
        <f t="shared" si="2"/>
        <v>9.0394781249975775</v>
      </c>
      <c r="L15" s="203">
        <f t="shared" si="3"/>
        <v>9.6602986066111036</v>
      </c>
      <c r="M15" s="203">
        <f t="shared" si="3"/>
        <v>17.784134802272941</v>
      </c>
      <c r="N15" s="203">
        <f t="shared" si="3"/>
        <v>11.485608101526882</v>
      </c>
      <c r="Q15" s="208">
        <f t="shared" si="17"/>
        <v>289.80692160992447</v>
      </c>
      <c r="R15" s="209"/>
      <c r="U15" s="22">
        <v>2030</v>
      </c>
      <c r="V15" s="186">
        <f t="shared" si="18"/>
        <v>149755</v>
      </c>
      <c r="W15" s="186">
        <f t="shared" si="18"/>
        <v>156612.5</v>
      </c>
      <c r="X15" s="186">
        <f t="shared" si="18"/>
        <v>354010.75</v>
      </c>
      <c r="Y15" s="186">
        <f t="shared" si="18"/>
        <v>215524.375</v>
      </c>
      <c r="Z15" s="203"/>
      <c r="AA15" s="203"/>
      <c r="AB15" s="202"/>
      <c r="AC15" s="186">
        <f t="shared" si="15"/>
        <v>139523.14024300172</v>
      </c>
      <c r="AD15" s="186">
        <f t="shared" si="15"/>
        <v>11247.358954172012</v>
      </c>
      <c r="AE15" s="186">
        <f t="shared" si="15"/>
        <v>17977.417986053151</v>
      </c>
      <c r="AF15" s="186">
        <f t="shared" si="15"/>
        <v>194727.29020537995</v>
      </c>
      <c r="AG15" s="186">
        <f t="shared" si="15"/>
        <v>74202.739346593662</v>
      </c>
      <c r="AJ15" s="212">
        <f t="shared" si="5"/>
        <v>4.2878683559419439</v>
      </c>
      <c r="AK15" s="212">
        <f t="shared" si="6"/>
        <v>5.3921404748632709</v>
      </c>
      <c r="AL15" s="212">
        <f t="shared" si="7"/>
        <v>24.151738005044898</v>
      </c>
      <c r="AM15" s="212">
        <f t="shared" si="8"/>
        <v>14.902833522446914</v>
      </c>
    </row>
    <row r="16" spans="1:40" x14ac:dyDescent="0.2">
      <c r="A16" s="22">
        <v>2031</v>
      </c>
      <c r="B16" s="203">
        <f t="shared" si="13"/>
        <v>7.0777995262828766</v>
      </c>
      <c r="C16" s="203">
        <f t="shared" si="14"/>
        <v>9.2052114980954389</v>
      </c>
      <c r="D16" s="203">
        <f t="shared" si="14"/>
        <v>9.8556762209121942</v>
      </c>
      <c r="E16" s="203">
        <f t="shared" si="14"/>
        <v>17.989800788884921</v>
      </c>
      <c r="F16" s="203">
        <f t="shared" si="14"/>
        <v>11.604195117868441</v>
      </c>
      <c r="G16" s="203"/>
      <c r="H16" s="203"/>
      <c r="I16" s="260">
        <f t="shared" si="16"/>
        <v>7.1444757281597369</v>
      </c>
      <c r="J16" s="203">
        <v>7.3125555989863509</v>
      </c>
      <c r="K16" s="203">
        <f t="shared" si="2"/>
        <v>9.3358883447329433</v>
      </c>
      <c r="L16" s="203">
        <f t="shared" si="3"/>
        <v>9.9955870410270293</v>
      </c>
      <c r="M16" s="203">
        <f t="shared" si="3"/>
        <v>18.245183344648552</v>
      </c>
      <c r="N16" s="203">
        <f t="shared" si="3"/>
        <v>11.768927848461662</v>
      </c>
      <c r="Q16" s="208">
        <f t="shared" si="17"/>
        <v>291.41757251426912</v>
      </c>
      <c r="R16" s="209"/>
      <c r="U16" s="22">
        <v>2031</v>
      </c>
      <c r="V16" s="186">
        <f t="shared" si="18"/>
        <v>150105</v>
      </c>
      <c r="W16" s="186">
        <f t="shared" si="18"/>
        <v>156865</v>
      </c>
      <c r="X16" s="186">
        <f t="shared" si="18"/>
        <v>338466</v>
      </c>
      <c r="Y16" s="186">
        <f t="shared" si="18"/>
        <v>213721.5</v>
      </c>
      <c r="Z16" s="203"/>
      <c r="AA16" s="203"/>
      <c r="AB16" s="202"/>
      <c r="AC16" s="186">
        <f t="shared" si="15"/>
        <v>139576.09988215286</v>
      </c>
      <c r="AD16" s="186">
        <f t="shared" si="15"/>
        <v>11427.596445520081</v>
      </c>
      <c r="AE16" s="186">
        <f t="shared" si="15"/>
        <v>18019.374910268605</v>
      </c>
      <c r="AF16" s="186">
        <f t="shared" si="15"/>
        <v>172364.60416410037</v>
      </c>
      <c r="AG16" s="186">
        <f t="shared" si="15"/>
        <v>71329.635545986472</v>
      </c>
      <c r="AJ16" s="212">
        <f t="shared" si="5"/>
        <v>3.8557814994063309</v>
      </c>
      <c r="AK16" s="212">
        <f t="shared" si="6"/>
        <v>4.9089820674322437</v>
      </c>
      <c r="AL16" s="212">
        <f t="shared" si="7"/>
        <v>21.034923587284077</v>
      </c>
      <c r="AM16" s="212">
        <f t="shared" si="8"/>
        <v>13.775095720314857</v>
      </c>
    </row>
    <row r="17" spans="1:39" x14ac:dyDescent="0.2">
      <c r="A17" s="22">
        <v>2032</v>
      </c>
      <c r="B17" s="203">
        <f t="shared" si="13"/>
        <v>7.0777995262828766</v>
      </c>
      <c r="C17" s="203">
        <f t="shared" si="14"/>
        <v>9.4176429027124833</v>
      </c>
      <c r="D17" s="203">
        <f t="shared" si="14"/>
        <v>10.095970881259653</v>
      </c>
      <c r="E17" s="203">
        <f t="shared" si="14"/>
        <v>18.320225257855437</v>
      </c>
      <c r="F17" s="203">
        <f t="shared" si="14"/>
        <v>11.807244836770963</v>
      </c>
      <c r="G17" s="203"/>
      <c r="H17" s="203"/>
      <c r="I17" s="260">
        <f t="shared" si="16"/>
        <v>7.1444757281597369</v>
      </c>
      <c r="J17" s="203">
        <v>7.3181923450895683</v>
      </c>
      <c r="K17" s="203">
        <f t="shared" si="2"/>
        <v>9.5513354178208179</v>
      </c>
      <c r="L17" s="203">
        <f t="shared" si="3"/>
        <v>10.239292915607265</v>
      </c>
      <c r="M17" s="203">
        <f t="shared" si="3"/>
        <v>18.580298507327285</v>
      </c>
      <c r="N17" s="203">
        <f t="shared" si="3"/>
        <v>11.974860053766838</v>
      </c>
      <c r="Q17" s="208">
        <f t="shared" si="17"/>
        <v>293.02822341861378</v>
      </c>
      <c r="R17" s="209"/>
      <c r="U17" s="22">
        <v>2032</v>
      </c>
      <c r="V17" s="186">
        <f t="shared" si="18"/>
        <v>150455</v>
      </c>
      <c r="W17" s="186">
        <f t="shared" si="18"/>
        <v>157117.5</v>
      </c>
      <c r="X17" s="186">
        <f t="shared" si="18"/>
        <v>322921.25</v>
      </c>
      <c r="Y17" s="186">
        <f t="shared" si="18"/>
        <v>211918.625</v>
      </c>
      <c r="Z17" s="203"/>
      <c r="AA17" s="203"/>
      <c r="AB17" s="202"/>
      <c r="AC17" s="186">
        <f t="shared" si="15"/>
        <v>139629.10034424686</v>
      </c>
      <c r="AD17" s="186">
        <f t="shared" si="15"/>
        <v>11558.602859557734</v>
      </c>
      <c r="AE17" s="186">
        <f t="shared" si="15"/>
        <v>18049.871485339663</v>
      </c>
      <c r="AF17" s="186">
        <f t="shared" si="15"/>
        <v>156110.18736876105</v>
      </c>
      <c r="AG17" s="186">
        <f t="shared" si="15"/>
        <v>69241.307400381003</v>
      </c>
      <c r="AJ17" s="212">
        <f t="shared" si="5"/>
        <v>3.6179012640348378</v>
      </c>
      <c r="AK17" s="212">
        <f t="shared" si="6"/>
        <v>4.6302174940949019</v>
      </c>
      <c r="AL17" s="212">
        <f t="shared" si="7"/>
        <v>18.848124204343396</v>
      </c>
      <c r="AM17" s="212">
        <f t="shared" si="8"/>
        <v>13.030595922062451</v>
      </c>
    </row>
    <row r="18" spans="1:39" x14ac:dyDescent="0.2">
      <c r="A18" s="22">
        <v>2033</v>
      </c>
      <c r="B18" s="203">
        <f t="shared" si="13"/>
        <v>7.0777995262828766</v>
      </c>
      <c r="C18" s="203">
        <f t="shared" si="14"/>
        <v>9.5443738873520285</v>
      </c>
      <c r="D18" s="203">
        <f t="shared" si="14"/>
        <v>10.239324350886033</v>
      </c>
      <c r="E18" s="203">
        <f t="shared" si="14"/>
        <v>18.517347799021707</v>
      </c>
      <c r="F18" s="203">
        <f t="shared" si="14"/>
        <v>11.928378954646275</v>
      </c>
      <c r="G18" s="203"/>
      <c r="H18" s="203"/>
      <c r="I18" s="260">
        <f t="shared" si="16"/>
        <v>7.1444757281597369</v>
      </c>
      <c r="J18" s="203">
        <v>7.3238334361726238</v>
      </c>
      <c r="K18" s="203">
        <f t="shared" si="2"/>
        <v>9.6798654708953897</v>
      </c>
      <c r="L18" s="203">
        <f t="shared" si="3"/>
        <v>10.384681425859187</v>
      </c>
      <c r="M18" s="203">
        <f t="shared" si="3"/>
        <v>18.78021939289728</v>
      </c>
      <c r="N18" s="203">
        <f t="shared" si="3"/>
        <v>12.097713787160755</v>
      </c>
      <c r="Q18" s="208">
        <f t="shared" si="17"/>
        <v>294.63887432295843</v>
      </c>
      <c r="R18" s="209"/>
      <c r="U18" s="22">
        <v>2033</v>
      </c>
      <c r="V18" s="186">
        <f t="shared" si="18"/>
        <v>150805</v>
      </c>
      <c r="W18" s="186">
        <f t="shared" si="18"/>
        <v>157370</v>
      </c>
      <c r="X18" s="186">
        <f t="shared" si="18"/>
        <v>307376.5</v>
      </c>
      <c r="Y18" s="186">
        <f t="shared" si="18"/>
        <v>210115.75</v>
      </c>
      <c r="Z18" s="203"/>
      <c r="AA18" s="203"/>
      <c r="AB18" s="202"/>
      <c r="AC18" s="186">
        <f t="shared" si="15"/>
        <v>139682.1416607514</v>
      </c>
      <c r="AD18" s="186">
        <f t="shared" si="15"/>
        <v>11636.757837984853</v>
      </c>
      <c r="AE18" s="186">
        <f t="shared" si="15"/>
        <v>18068.064939334174</v>
      </c>
      <c r="AF18" s="186">
        <f t="shared" si="15"/>
        <v>146413.23013718586</v>
      </c>
      <c r="AG18" s="186">
        <f t="shared" si="15"/>
        <v>67995.465795086551</v>
      </c>
      <c r="AJ18" s="212">
        <f t="shared" si="5"/>
        <v>3.501535919575701</v>
      </c>
      <c r="AK18" s="212">
        <f t="shared" si="6"/>
        <v>4.4895366139954707</v>
      </c>
      <c r="AL18" s="212">
        <f t="shared" si="7"/>
        <v>17.578094946599801</v>
      </c>
      <c r="AM18" s="212">
        <f t="shared" si="8"/>
        <v>12.619733611008384</v>
      </c>
    </row>
    <row r="19" spans="1:39" x14ac:dyDescent="0.2">
      <c r="A19" s="22">
        <v>2034</v>
      </c>
      <c r="B19" s="203">
        <f t="shared" si="13"/>
        <v>7.0777995262828766</v>
      </c>
      <c r="C19" s="203">
        <f t="shared" si="14"/>
        <v>9.6112637919939683</v>
      </c>
      <c r="D19" s="203">
        <f t="shared" si="14"/>
        <v>10.314987772429493</v>
      </c>
      <c r="E19" s="203">
        <f t="shared" si="14"/>
        <v>18.621391084244273</v>
      </c>
      <c r="F19" s="203">
        <f t="shared" si="14"/>
        <v>11.992314775997393</v>
      </c>
      <c r="G19" s="203"/>
      <c r="H19" s="203"/>
      <c r="I19" s="260">
        <f t="shared" si="16"/>
        <v>7.1444757281597369</v>
      </c>
      <c r="J19" s="203">
        <v>7.3294788755847629</v>
      </c>
      <c r="K19" s="203">
        <f t="shared" si="2"/>
        <v>9.7477049421836028</v>
      </c>
      <c r="L19" s="203">
        <f t="shared" si="3"/>
        <v>10.461418962574813</v>
      </c>
      <c r="M19" s="203">
        <f t="shared" si="3"/>
        <v>18.885739672801552</v>
      </c>
      <c r="N19" s="203">
        <f t="shared" si="3"/>
        <v>12.162557239099508</v>
      </c>
      <c r="Q19" s="208">
        <f t="shared" si="17"/>
        <v>296.24952522730308</v>
      </c>
      <c r="R19" s="209"/>
      <c r="U19" s="22">
        <v>2034</v>
      </c>
      <c r="V19" s="186">
        <f t="shared" si="18"/>
        <v>151155</v>
      </c>
      <c r="W19" s="186">
        <f t="shared" si="18"/>
        <v>157622.5</v>
      </c>
      <c r="X19" s="186">
        <f t="shared" si="18"/>
        <v>291831.75</v>
      </c>
      <c r="Y19" s="186">
        <f t="shared" si="18"/>
        <v>208312.875</v>
      </c>
      <c r="Z19" s="203"/>
      <c r="AA19" s="203"/>
      <c r="AB19" s="202"/>
      <c r="AC19" s="186">
        <f t="shared" si="15"/>
        <v>139735.22386315826</v>
      </c>
      <c r="AD19" s="186">
        <f t="shared" si="15"/>
        <v>11678.008831726847</v>
      </c>
      <c r="AE19" s="186">
        <f t="shared" si="15"/>
        <v>18077.667629680669</v>
      </c>
      <c r="AF19" s="186">
        <f t="shared" si="15"/>
        <v>141295.07733199868</v>
      </c>
      <c r="AG19" s="186">
        <f t="shared" si="15"/>
        <v>67337.897905007194</v>
      </c>
      <c r="AJ19" s="212">
        <f t="shared" si="5"/>
        <v>3.4502246487221142</v>
      </c>
      <c r="AK19" s="212">
        <f t="shared" si="6"/>
        <v>4.4258087644598154</v>
      </c>
      <c r="AL19" s="212">
        <f t="shared" si="7"/>
        <v>16.924536881737861</v>
      </c>
      <c r="AM19" s="212">
        <f t="shared" si="8"/>
        <v>12.420346522227231</v>
      </c>
    </row>
    <row r="20" spans="1:39" x14ac:dyDescent="0.2">
      <c r="A20" s="200">
        <v>2035</v>
      </c>
      <c r="B20" s="201">
        <f t="shared" si="13"/>
        <v>7.0777995262828766</v>
      </c>
      <c r="C20" s="201">
        <f>C$3*'Class 8 Day Cab'!$F67</f>
        <v>9.6739488004803249</v>
      </c>
      <c r="D20" s="201">
        <f>D$3*'Class 8 Day Cab'!$P67</f>
        <v>10.38589476873854</v>
      </c>
      <c r="E20" s="201">
        <f>E$3*'Class 8 Day Cab'!$K78</f>
        <v>18.7188939025251</v>
      </c>
      <c r="F20" s="201">
        <f>F$3*'Class 8 Day Cab'!$U67</f>
        <v>12.052231403557721</v>
      </c>
      <c r="G20" s="201"/>
      <c r="H20" s="201"/>
      <c r="I20" s="260">
        <f t="shared" si="16"/>
        <v>7.1444757281597369</v>
      </c>
      <c r="J20" s="203">
        <v>7.3351272149996589</v>
      </c>
      <c r="K20" s="202">
        <f t="shared" si="2"/>
        <v>9.8112798247637976</v>
      </c>
      <c r="L20" s="203">
        <f t="shared" si="3"/>
        <v>10.533332552016905</v>
      </c>
      <c r="M20" s="203">
        <f t="shared" si="3"/>
        <v>18.984626637533971</v>
      </c>
      <c r="N20" s="203">
        <f t="shared" si="3"/>
        <v>12.223324440919034</v>
      </c>
      <c r="Q20" s="204">
        <f>'Class 8 Day Cab'!K73</f>
        <v>297.86017613164762</v>
      </c>
      <c r="R20" s="205"/>
      <c r="S20" s="200"/>
      <c r="U20" s="200">
        <v>2035</v>
      </c>
      <c r="V20" s="206">
        <f>'Class 8 Day Cab'!F$83</f>
        <v>151505</v>
      </c>
      <c r="W20" s="206">
        <f>'Class 8 Day Cab'!$P$83</f>
        <v>157875</v>
      </c>
      <c r="X20" s="206">
        <f>'Class 8 Day Cab'!$K$83</f>
        <v>276287</v>
      </c>
      <c r="Y20" s="206">
        <f>'Class 8 Day Cab'!$U$83</f>
        <v>206510</v>
      </c>
      <c r="Z20" s="201"/>
      <c r="AA20" s="201"/>
      <c r="AB20" s="202"/>
      <c r="AC20" s="219">
        <f t="shared" si="11"/>
        <v>139788.33333333334</v>
      </c>
      <c r="AD20" s="206">
        <f t="shared" ref="AD20" si="19">V20-$AC20</f>
        <v>11716.666666666657</v>
      </c>
      <c r="AE20" s="206">
        <f>W20-$AC20</f>
        <v>18086.666666666657</v>
      </c>
      <c r="AF20" s="206">
        <f>X20-$AC20</f>
        <v>136498.66666666666</v>
      </c>
      <c r="AG20" s="206">
        <f>Y20-$AC20</f>
        <v>66721.666666666657</v>
      </c>
      <c r="AH20" s="200"/>
      <c r="AJ20" s="212">
        <f t="shared" si="5"/>
        <v>3.4053360791179395</v>
      </c>
      <c r="AK20" s="212">
        <f t="shared" si="6"/>
        <v>4.3694385606419566</v>
      </c>
      <c r="AL20" s="212">
        <f t="shared" si="7"/>
        <v>16.316644663924308</v>
      </c>
      <c r="AM20" s="212">
        <f t="shared" si="8"/>
        <v>12.238132631167737</v>
      </c>
    </row>
    <row r="21" spans="1:39" x14ac:dyDescent="0.2">
      <c r="A21" s="22">
        <v>2036</v>
      </c>
      <c r="B21" s="203">
        <f t="shared" si="13"/>
        <v>7.0777995262828766</v>
      </c>
      <c r="C21" s="203">
        <f>C$20+(C$35-C$20)/(1+EXP(-($A21-$A$20-($A$35-$A$20)*$C$44)/$C$41))</f>
        <v>9.7627948883432438</v>
      </c>
      <c r="D21" s="203">
        <f t="shared" ref="D21:F34" si="20">D$20+(D$35-D$20)/(1+EXP(-($A21-$A$20-($A$35-$A$20)*$C$44)/$C$41))</f>
        <v>10.532406658269835</v>
      </c>
      <c r="E21" s="203">
        <f t="shared" si="20"/>
        <v>18.980824487311097</v>
      </c>
      <c r="F21" s="203">
        <f t="shared" si="20"/>
        <v>12.24407286378408</v>
      </c>
      <c r="G21" s="203"/>
      <c r="H21" s="203"/>
      <c r="I21" s="260">
        <f t="shared" si="16"/>
        <v>7.1444757281597369</v>
      </c>
      <c r="J21" s="203">
        <v>7.3355433916329638</v>
      </c>
      <c r="K21" s="203">
        <f t="shared" si="2"/>
        <v>9.9013871684490748</v>
      </c>
      <c r="L21" s="203">
        <f t="shared" si="3"/>
        <v>10.6819243189875</v>
      </c>
      <c r="M21" s="203">
        <f t="shared" si="3"/>
        <v>19.250275579346837</v>
      </c>
      <c r="N21" s="203">
        <f t="shared" si="3"/>
        <v>12.417889275516739</v>
      </c>
      <c r="Q21" s="208">
        <f>Q20+(Q$35-Q$20)/($A$35-$A$20)</f>
        <v>299.70549546891095</v>
      </c>
      <c r="R21" s="209"/>
      <c r="U21" s="22">
        <v>2036</v>
      </c>
      <c r="V21" s="186">
        <f>V20+(V$35-V$20)/($A$35-$A$20)</f>
        <v>151545</v>
      </c>
      <c r="W21" s="186">
        <f>W20+(W$35-W$20)/($A$35-$A$20)</f>
        <v>157765.33333333334</v>
      </c>
      <c r="X21" s="186">
        <f>X20+(X$35-X$20)/($A$35-$A$20)</f>
        <v>268668.2</v>
      </c>
      <c r="Y21" s="186">
        <f>Y20+(Y$35-Y$20)/($A$35-$A$20)</f>
        <v>203724.79999999999</v>
      </c>
      <c r="Z21" s="203"/>
      <c r="AA21" s="203"/>
      <c r="AB21" s="202"/>
      <c r="AC21" s="186">
        <f t="shared" ref="AC21:AC34" si="21">AC$20+(AC$35-AC$20)*(J21-J$20)/(J$35-J$20)</f>
        <v>139788.33333333334</v>
      </c>
      <c r="AD21" s="186">
        <f t="shared" ref="AD21:AD34" si="22">AD$20+(AD$35-AD$20)*(K21-K$20)/(K$35-K$20)</f>
        <v>11739.062799073135</v>
      </c>
      <c r="AE21" s="186">
        <f t="shared" ref="AE21:AE34" si="23">AE$20+(AE$35-AE$20)*(L21-L$20)/(L$35-L$20)</f>
        <v>18025.263936985564</v>
      </c>
      <c r="AF21" s="186">
        <f t="shared" ref="AF21:AF34" si="24">AF$20+(AF$35-AF$20)*(M21-M$20)/(M$35-M$20)</f>
        <v>132232.87532720482</v>
      </c>
      <c r="AG21" s="186">
        <f t="shared" ref="AG21:AG34" si="25">AG$20+(AG$35-AG$20)*(N21-N$20)/(N$35-N$20)</f>
        <v>65162.223967203601</v>
      </c>
      <c r="AJ21" s="212">
        <f t="shared" si="5"/>
        <v>3.3230092379659357</v>
      </c>
      <c r="AK21" s="212">
        <f t="shared" si="6"/>
        <v>4.2207345888318288</v>
      </c>
      <c r="AL21" s="212">
        <f t="shared" si="7"/>
        <v>15.671999099072943</v>
      </c>
      <c r="AM21" s="212">
        <f t="shared" si="8"/>
        <v>11.679163914664997</v>
      </c>
    </row>
    <row r="22" spans="1:39" x14ac:dyDescent="0.2">
      <c r="A22" s="22">
        <v>2037</v>
      </c>
      <c r="B22" s="203">
        <f t="shared" si="13"/>
        <v>7.0777995262828766</v>
      </c>
      <c r="C22" s="203">
        <f t="shared" ref="C22:F34" si="26">C$20+(C$35-C$20)/(1+EXP(-($A22-$A$20-($A$35-$A$20)*$C$44)/$C$41))</f>
        <v>9.8169680603380023</v>
      </c>
      <c r="D22" s="203">
        <f t="shared" si="26"/>
        <v>10.621741078971645</v>
      </c>
      <c r="E22" s="203">
        <f t="shared" si="20"/>
        <v>19.140534509008315</v>
      </c>
      <c r="F22" s="203">
        <f t="shared" si="26"/>
        <v>12.361046617728128</v>
      </c>
      <c r="G22" s="203"/>
      <c r="H22" s="203"/>
      <c r="I22" s="260">
        <f t="shared" si="16"/>
        <v>7.1444757281597369</v>
      </c>
      <c r="J22" s="203">
        <v>7.3359595682662686</v>
      </c>
      <c r="K22" s="203">
        <f t="shared" si="2"/>
        <v>9.9563293808173317</v>
      </c>
      <c r="L22" s="203">
        <f t="shared" si="3"/>
        <v>10.772526927866835</v>
      </c>
      <c r="M22" s="203">
        <f t="shared" si="3"/>
        <v>19.412252838686136</v>
      </c>
      <c r="N22" s="203">
        <f t="shared" si="3"/>
        <v>12.536523584604787</v>
      </c>
      <c r="Q22" s="208">
        <f t="shared" ref="Q22:Q34" si="27">Q21+(Q$35-Q$20)/($A$35-$A$20)</f>
        <v>301.55081480617429</v>
      </c>
      <c r="R22" s="209"/>
      <c r="U22" s="22">
        <v>2037</v>
      </c>
      <c r="V22" s="186">
        <f t="shared" ref="V22:Y34" si="28">V21+(V$35-V$20)/($A$35-$A$20)</f>
        <v>151585</v>
      </c>
      <c r="W22" s="186">
        <f t="shared" si="28"/>
        <v>157655.66666666669</v>
      </c>
      <c r="X22" s="186">
        <f t="shared" si="28"/>
        <v>261049.40000000002</v>
      </c>
      <c r="Y22" s="186">
        <f t="shared" si="28"/>
        <v>200939.59999999998</v>
      </c>
      <c r="Z22" s="203"/>
      <c r="AA22" s="203"/>
      <c r="AB22" s="202"/>
      <c r="AC22" s="186">
        <f t="shared" si="21"/>
        <v>139788.33333333334</v>
      </c>
      <c r="AD22" s="186">
        <f t="shared" si="22"/>
        <v>11752.718656771061</v>
      </c>
      <c r="AE22" s="186">
        <f t="shared" si="23"/>
        <v>17987.824127130414</v>
      </c>
      <c r="AF22" s="186">
        <f t="shared" si="24"/>
        <v>129631.84411148069</v>
      </c>
      <c r="AG22" s="186">
        <f t="shared" si="25"/>
        <v>64211.366595696949</v>
      </c>
      <c r="AJ22" s="212">
        <f t="shared" si="5"/>
        <v>3.2759098142205012</v>
      </c>
      <c r="AK22" s="212">
        <f t="shared" si="6"/>
        <v>4.1364548590236527</v>
      </c>
      <c r="AL22" s="212">
        <f t="shared" si="7"/>
        <v>15.286600515712639</v>
      </c>
      <c r="AM22" s="212">
        <f t="shared" si="8"/>
        <v>11.355219074779926</v>
      </c>
    </row>
    <row r="23" spans="1:39" x14ac:dyDescent="0.2">
      <c r="A23" s="22">
        <v>2038</v>
      </c>
      <c r="B23" s="203">
        <f t="shared" si="13"/>
        <v>7.0777995262828766</v>
      </c>
      <c r="C23" s="203">
        <f t="shared" si="26"/>
        <v>9.9009012076823382</v>
      </c>
      <c r="D23" s="203">
        <f t="shared" si="26"/>
        <v>10.76015127020821</v>
      </c>
      <c r="E23" s="203">
        <f t="shared" si="20"/>
        <v>19.387981064007462</v>
      </c>
      <c r="F23" s="203">
        <f t="shared" si="26"/>
        <v>12.542279781002296</v>
      </c>
      <c r="G23" s="203"/>
      <c r="H23" s="203"/>
      <c r="I23" s="260">
        <f t="shared" si="16"/>
        <v>7.1444757281597369</v>
      </c>
      <c r="J23" s="203">
        <v>7.3363757448995734</v>
      </c>
      <c r="K23" s="203">
        <f t="shared" si="2"/>
        <v>10.041454040059637</v>
      </c>
      <c r="L23" s="203">
        <f t="shared" si="3"/>
        <v>10.912901985129238</v>
      </c>
      <c r="M23" s="203">
        <f t="shared" si="3"/>
        <v>19.663212135953646</v>
      </c>
      <c r="N23" s="203">
        <f t="shared" si="3"/>
        <v>12.720329527253735</v>
      </c>
      <c r="Q23" s="208">
        <f t="shared" si="27"/>
        <v>303.39613414343762</v>
      </c>
      <c r="R23" s="209"/>
      <c r="U23" s="22">
        <v>2038</v>
      </c>
      <c r="V23" s="186">
        <f t="shared" si="28"/>
        <v>151625</v>
      </c>
      <c r="W23" s="186">
        <f t="shared" si="28"/>
        <v>157546.00000000003</v>
      </c>
      <c r="X23" s="186">
        <f t="shared" si="28"/>
        <v>253430.60000000003</v>
      </c>
      <c r="Y23" s="186">
        <f t="shared" si="28"/>
        <v>198154.39999999997</v>
      </c>
      <c r="Z23" s="203"/>
      <c r="AA23" s="203"/>
      <c r="AB23" s="202"/>
      <c r="AC23" s="186">
        <f t="shared" si="21"/>
        <v>139788.33333333334</v>
      </c>
      <c r="AD23" s="186">
        <f t="shared" si="22"/>
        <v>11773.876345606122</v>
      </c>
      <c r="AE23" s="186">
        <f t="shared" si="23"/>
        <v>17929.81679690762</v>
      </c>
      <c r="AF23" s="186">
        <f t="shared" si="24"/>
        <v>125601.93911906665</v>
      </c>
      <c r="AG23" s="186">
        <f t="shared" si="25"/>
        <v>62738.156722111649</v>
      </c>
      <c r="AJ23" s="212">
        <f t="shared" si="5"/>
        <v>3.2064007526215095</v>
      </c>
      <c r="AK23" s="212">
        <f t="shared" si="6"/>
        <v>4.013620047536933</v>
      </c>
      <c r="AL23" s="212">
        <f t="shared" si="7"/>
        <v>14.698761512133023</v>
      </c>
      <c r="AM23" s="212">
        <f t="shared" si="8"/>
        <v>10.874526604778364</v>
      </c>
    </row>
    <row r="24" spans="1:39" x14ac:dyDescent="0.2">
      <c r="A24" s="22">
        <v>2039</v>
      </c>
      <c r="B24" s="203">
        <f t="shared" si="13"/>
        <v>7.0777995262828766</v>
      </c>
      <c r="C24" s="203">
        <f t="shared" si="26"/>
        <v>10.026333242368461</v>
      </c>
      <c r="D24" s="203">
        <f t="shared" si="26"/>
        <v>10.966995317612675</v>
      </c>
      <c r="E24" s="203">
        <f t="shared" si="20"/>
        <v>19.757772092363428</v>
      </c>
      <c r="F24" s="203">
        <f t="shared" si="26"/>
        <v>12.813119671335746</v>
      </c>
      <c r="G24" s="203"/>
      <c r="H24" s="203"/>
      <c r="I24" s="260">
        <f t="shared" si="16"/>
        <v>7.1444757281597369</v>
      </c>
      <c r="J24" s="203">
        <v>7.3367919215328783</v>
      </c>
      <c r="K24" s="203">
        <f t="shared" si="2"/>
        <v>10.16866670333463</v>
      </c>
      <c r="L24" s="203">
        <f t="shared" si="3"/>
        <v>11.12268238308536</v>
      </c>
      <c r="M24" s="203">
        <f t="shared" si="3"/>
        <v>20.038252704258845</v>
      </c>
      <c r="N24" s="203">
        <f t="shared" si="3"/>
        <v>12.995014250790607</v>
      </c>
      <c r="Q24" s="208">
        <f t="shared" si="27"/>
        <v>305.24145348070095</v>
      </c>
      <c r="R24" s="209"/>
      <c r="U24" s="22">
        <v>2039</v>
      </c>
      <c r="V24" s="186">
        <f t="shared" si="28"/>
        <v>151665</v>
      </c>
      <c r="W24" s="186">
        <f t="shared" si="28"/>
        <v>157436.33333333337</v>
      </c>
      <c r="X24" s="186">
        <f t="shared" si="28"/>
        <v>245811.80000000005</v>
      </c>
      <c r="Y24" s="186">
        <f t="shared" si="28"/>
        <v>195369.19999999995</v>
      </c>
      <c r="Z24" s="203"/>
      <c r="AA24" s="203"/>
      <c r="AB24" s="202"/>
      <c r="AC24" s="186">
        <f t="shared" si="21"/>
        <v>139788.33333333334</v>
      </c>
      <c r="AD24" s="186">
        <f t="shared" si="22"/>
        <v>11805.494985485671</v>
      </c>
      <c r="AE24" s="186">
        <f t="shared" si="23"/>
        <v>17843.129025904527</v>
      </c>
      <c r="AF24" s="186">
        <f t="shared" si="24"/>
        <v>119579.5367812092</v>
      </c>
      <c r="AG24" s="186">
        <f t="shared" si="25"/>
        <v>60536.55082729875</v>
      </c>
      <c r="AJ24" s="212">
        <f t="shared" si="5"/>
        <v>3.1101430879700378</v>
      </c>
      <c r="AK24" s="212">
        <f t="shared" si="6"/>
        <v>3.8460835090482441</v>
      </c>
      <c r="AL24" s="212">
        <f t="shared" si="7"/>
        <v>13.841056663766453</v>
      </c>
      <c r="AM24" s="212">
        <f t="shared" si="8"/>
        <v>10.200480424828989</v>
      </c>
    </row>
    <row r="25" spans="1:39" x14ac:dyDescent="0.2">
      <c r="A25" s="22">
        <v>2040</v>
      </c>
      <c r="B25" s="203">
        <f t="shared" si="13"/>
        <v>7.0777995262828766</v>
      </c>
      <c r="C25" s="203">
        <f t="shared" si="26"/>
        <v>10.204023433244188</v>
      </c>
      <c r="D25" s="203">
        <f t="shared" si="26"/>
        <v>11.260015823552644</v>
      </c>
      <c r="E25" s="203">
        <f t="shared" si="20"/>
        <v>20.281627410322116</v>
      </c>
      <c r="F25" s="203">
        <f t="shared" si="26"/>
        <v>13.19679830598869</v>
      </c>
      <c r="G25" s="203"/>
      <c r="H25" s="203"/>
      <c r="I25" s="260">
        <f t="shared" si="16"/>
        <v>7.1444757281597369</v>
      </c>
      <c r="J25" s="203">
        <v>7.3372080981661831</v>
      </c>
      <c r="K25" s="203">
        <f t="shared" si="2"/>
        <v>10.348879377678212</v>
      </c>
      <c r="L25" s="203">
        <f t="shared" si="3"/>
        <v>11.419862597438796</v>
      </c>
      <c r="M25" s="203">
        <f t="shared" si="3"/>
        <v>20.56954465320198</v>
      </c>
      <c r="N25" s="203">
        <f t="shared" si="3"/>
        <v>13.384139573345184</v>
      </c>
      <c r="Q25" s="208">
        <f t="shared" si="27"/>
        <v>307.08677281796429</v>
      </c>
      <c r="R25" s="209"/>
      <c r="U25" s="22">
        <v>2040</v>
      </c>
      <c r="V25" s="186">
        <f t="shared" si="28"/>
        <v>151705</v>
      </c>
      <c r="W25" s="186">
        <f t="shared" si="28"/>
        <v>157326.66666666672</v>
      </c>
      <c r="X25" s="186">
        <f t="shared" si="28"/>
        <v>238193.00000000006</v>
      </c>
      <c r="Y25" s="186">
        <f t="shared" si="28"/>
        <v>192583.99999999994</v>
      </c>
      <c r="Z25" s="203"/>
      <c r="AA25" s="203"/>
      <c r="AB25" s="202"/>
      <c r="AC25" s="186">
        <f t="shared" si="21"/>
        <v>139788.33333333334</v>
      </c>
      <c r="AD25" s="186">
        <f t="shared" si="22"/>
        <v>11850.286749961842</v>
      </c>
      <c r="AE25" s="186">
        <f t="shared" si="23"/>
        <v>17720.324938299025</v>
      </c>
      <c r="AF25" s="186">
        <f t="shared" si="24"/>
        <v>111048.04940143277</v>
      </c>
      <c r="AG25" s="186">
        <f t="shared" si="25"/>
        <v>57417.700266822896</v>
      </c>
      <c r="AJ25" s="212">
        <f t="shared" si="5"/>
        <v>2.9877582466289581</v>
      </c>
      <c r="AK25" s="212">
        <f t="shared" si="6"/>
        <v>3.6368113011281649</v>
      </c>
      <c r="AL25" s="212">
        <f t="shared" si="7"/>
        <v>12.66572081029703</v>
      </c>
      <c r="AM25" s="212">
        <f t="shared" si="8"/>
        <v>9.3246392812241456</v>
      </c>
    </row>
    <row r="26" spans="1:39" x14ac:dyDescent="0.2">
      <c r="A26" s="22">
        <v>2041</v>
      </c>
      <c r="B26" s="203">
        <f t="shared" si="13"/>
        <v>7.0777995262828766</v>
      </c>
      <c r="C26" s="203">
        <f t="shared" si="26"/>
        <v>10.437573080709566</v>
      </c>
      <c r="D26" s="203">
        <f t="shared" si="26"/>
        <v>11.6451515225191</v>
      </c>
      <c r="E26" s="203">
        <f t="shared" si="20"/>
        <v>20.970164150752996</v>
      </c>
      <c r="F26" s="203">
        <f t="shared" si="26"/>
        <v>13.701091814941369</v>
      </c>
      <c r="G26" s="203"/>
      <c r="H26" s="203"/>
      <c r="I26" s="260">
        <f t="shared" si="16"/>
        <v>7.1444757281597369</v>
      </c>
      <c r="J26" s="203">
        <v>7.337624274799488</v>
      </c>
      <c r="K26" s="203">
        <f t="shared" si="2"/>
        <v>10.585744487419539</v>
      </c>
      <c r="L26" s="203">
        <f t="shared" si="3"/>
        <v>11.810465668738725</v>
      </c>
      <c r="M26" s="203">
        <f t="shared" si="3"/>
        <v>21.267855836083442</v>
      </c>
      <c r="N26" s="203">
        <f t="shared" si="3"/>
        <v>13.895592014555239</v>
      </c>
      <c r="Q26" s="208">
        <f t="shared" si="27"/>
        <v>308.93209215522762</v>
      </c>
      <c r="R26" s="209"/>
      <c r="U26" s="22">
        <v>2041</v>
      </c>
      <c r="V26" s="186">
        <f t="shared" si="28"/>
        <v>151745</v>
      </c>
      <c r="W26" s="186">
        <f t="shared" si="28"/>
        <v>157217.00000000006</v>
      </c>
      <c r="X26" s="186">
        <f t="shared" si="28"/>
        <v>230574.20000000007</v>
      </c>
      <c r="Y26" s="186">
        <f t="shared" si="28"/>
        <v>189798.79999999993</v>
      </c>
      <c r="Z26" s="203"/>
      <c r="AA26" s="203"/>
      <c r="AB26" s="202"/>
      <c r="AC26" s="186">
        <f t="shared" si="21"/>
        <v>139788.33333333334</v>
      </c>
      <c r="AD26" s="186">
        <f t="shared" si="22"/>
        <v>11909.159447161421</v>
      </c>
      <c r="AE26" s="186">
        <f t="shared" si="23"/>
        <v>17558.91562681018</v>
      </c>
      <c r="AF26" s="186">
        <f t="shared" si="24"/>
        <v>99834.566765828989</v>
      </c>
      <c r="AG26" s="186">
        <f t="shared" si="25"/>
        <v>53318.394360816237</v>
      </c>
      <c r="AJ26" s="212">
        <f t="shared" si="5"/>
        <v>2.8479075876607021</v>
      </c>
      <c r="AK26" s="212">
        <f t="shared" si="6"/>
        <v>3.402018609057412</v>
      </c>
      <c r="AL26" s="212">
        <f t="shared" si="7"/>
        <v>11.184119004145643</v>
      </c>
      <c r="AM26" s="212">
        <f t="shared" si="8"/>
        <v>8.2897285716677285</v>
      </c>
    </row>
    <row r="27" spans="1:39" x14ac:dyDescent="0.2">
      <c r="A27" s="22">
        <v>2042</v>
      </c>
      <c r="B27" s="203">
        <f t="shared" si="13"/>
        <v>7.0777995262828766</v>
      </c>
      <c r="C27" s="203">
        <f t="shared" si="26"/>
        <v>10.716063689732362</v>
      </c>
      <c r="D27" s="203">
        <f t="shared" si="26"/>
        <v>12.104397239759965</v>
      </c>
      <c r="E27" s="203">
        <f t="shared" si="20"/>
        <v>21.791193076543149</v>
      </c>
      <c r="F27" s="203">
        <f t="shared" si="26"/>
        <v>14.302424370818144</v>
      </c>
      <c r="G27" s="203"/>
      <c r="H27" s="203"/>
      <c r="I27" s="260">
        <f t="shared" si="16"/>
        <v>7.1444757281597369</v>
      </c>
      <c r="J27" s="203">
        <v>7.3380404514327937</v>
      </c>
      <c r="K27" s="203">
        <f t="shared" si="2"/>
        <v>10.868188538969189</v>
      </c>
      <c r="L27" s="203">
        <f t="shared" si="3"/>
        <v>12.276230821429088</v>
      </c>
      <c r="M27" s="203">
        <f t="shared" si="3"/>
        <v>22.100540058554461</v>
      </c>
      <c r="N27" s="203">
        <f t="shared" si="3"/>
        <v>14.505461065459716</v>
      </c>
      <c r="Q27" s="208">
        <f t="shared" si="27"/>
        <v>310.77741149249096</v>
      </c>
      <c r="R27" s="209"/>
      <c r="U27" s="22">
        <v>2042</v>
      </c>
      <c r="V27" s="186">
        <f t="shared" si="28"/>
        <v>151785</v>
      </c>
      <c r="W27" s="186">
        <f t="shared" si="28"/>
        <v>157107.3333333334</v>
      </c>
      <c r="X27" s="186">
        <f t="shared" si="28"/>
        <v>222955.40000000008</v>
      </c>
      <c r="Y27" s="186">
        <f t="shared" si="28"/>
        <v>187013.59999999992</v>
      </c>
      <c r="Z27" s="203"/>
      <c r="AA27" s="203"/>
      <c r="AB27" s="202"/>
      <c r="AC27" s="186">
        <f t="shared" si="21"/>
        <v>139788.33333333334</v>
      </c>
      <c r="AD27" s="186">
        <f t="shared" si="22"/>
        <v>11979.360766135178</v>
      </c>
      <c r="AE27" s="186">
        <f t="shared" si="23"/>
        <v>17366.447010623797</v>
      </c>
      <c r="AF27" s="186">
        <f t="shared" si="24"/>
        <v>86463.321540897479</v>
      </c>
      <c r="AG27" s="186">
        <f t="shared" si="25"/>
        <v>48430.276520673549</v>
      </c>
      <c r="AJ27" s="212">
        <f t="shared" si="5"/>
        <v>2.7063127610738951</v>
      </c>
      <c r="AK27" s="212">
        <f t="shared" si="6"/>
        <v>3.1680227699514041</v>
      </c>
      <c r="AL27" s="212">
        <f t="shared" si="7"/>
        <v>9.4984994971522401</v>
      </c>
      <c r="AM27" s="212">
        <f t="shared" si="8"/>
        <v>7.1922652623180063</v>
      </c>
    </row>
    <row r="28" spans="1:39" x14ac:dyDescent="0.2">
      <c r="A28" s="22">
        <v>2043</v>
      </c>
      <c r="B28" s="203">
        <f t="shared" si="13"/>
        <v>7.0777995262828766</v>
      </c>
      <c r="C28" s="203">
        <f t="shared" si="26"/>
        <v>11.012050805388672</v>
      </c>
      <c r="D28" s="203">
        <f t="shared" si="26"/>
        <v>12.592495620170741</v>
      </c>
      <c r="E28" s="203">
        <f t="shared" si="20"/>
        <v>22.663804129633025</v>
      </c>
      <c r="F28" s="203">
        <f t="shared" si="26"/>
        <v>14.941536365972111</v>
      </c>
      <c r="G28" s="203"/>
      <c r="H28" s="203"/>
      <c r="I28" s="260">
        <f t="shared" si="16"/>
        <v>7.1444757281597369</v>
      </c>
      <c r="J28" s="203">
        <v>7.3384566280660994</v>
      </c>
      <c r="K28" s="203">
        <f t="shared" si="2"/>
        <v>11.168377476922283</v>
      </c>
      <c r="L28" s="203">
        <f t="shared" si="3"/>
        <v>12.771258228643232</v>
      </c>
      <c r="M28" s="203">
        <f t="shared" si="3"/>
        <v>22.985538666322732</v>
      </c>
      <c r="N28" s="203">
        <f t="shared" si="3"/>
        <v>15.15364587118324</v>
      </c>
      <c r="Q28" s="208">
        <f t="shared" si="27"/>
        <v>312.62273082975429</v>
      </c>
      <c r="R28" s="209"/>
      <c r="U28" s="22">
        <v>2043</v>
      </c>
      <c r="V28" s="186">
        <f t="shared" si="28"/>
        <v>151825</v>
      </c>
      <c r="W28" s="186">
        <f t="shared" si="28"/>
        <v>156997.66666666674</v>
      </c>
      <c r="X28" s="186">
        <f t="shared" si="28"/>
        <v>215336.60000000009</v>
      </c>
      <c r="Y28" s="186">
        <f t="shared" si="28"/>
        <v>184228.39999999991</v>
      </c>
      <c r="Z28" s="203"/>
      <c r="AA28" s="203"/>
      <c r="AB28" s="202"/>
      <c r="AC28" s="186">
        <f t="shared" si="21"/>
        <v>139788.33333333334</v>
      </c>
      <c r="AD28" s="186">
        <f t="shared" si="22"/>
        <v>12053.972567198136</v>
      </c>
      <c r="AE28" s="186">
        <f t="shared" si="23"/>
        <v>17161.886322709517</v>
      </c>
      <c r="AF28" s="186">
        <f t="shared" si="24"/>
        <v>72252.011792435951</v>
      </c>
      <c r="AG28" s="186">
        <f t="shared" si="25"/>
        <v>43235.056812659808</v>
      </c>
      <c r="AJ28" s="212">
        <f t="shared" si="5"/>
        <v>2.5794981217003654</v>
      </c>
      <c r="AK28" s="212">
        <f t="shared" si="6"/>
        <v>2.9605990371008293</v>
      </c>
      <c r="AL28" s="212">
        <f t="shared" si="7"/>
        <v>7.7888977434716589</v>
      </c>
      <c r="AM28" s="212">
        <f t="shared" si="8"/>
        <v>6.1520293804271109</v>
      </c>
    </row>
    <row r="29" spans="1:39" x14ac:dyDescent="0.2">
      <c r="A29" s="22">
        <v>2044</v>
      </c>
      <c r="B29" s="203">
        <f t="shared" si="13"/>
        <v>7.0777995262828766</v>
      </c>
      <c r="C29" s="203">
        <f t="shared" si="26"/>
        <v>11.29054141441147</v>
      </c>
      <c r="D29" s="203">
        <f t="shared" si="26"/>
        <v>13.051741337411606</v>
      </c>
      <c r="E29" s="203">
        <f t="shared" si="20"/>
        <v>23.484833055423177</v>
      </c>
      <c r="F29" s="203">
        <f t="shared" si="26"/>
        <v>15.542868921848886</v>
      </c>
      <c r="G29" s="203"/>
      <c r="H29" s="203"/>
      <c r="I29" s="260">
        <f t="shared" si="16"/>
        <v>7.1444757281597369</v>
      </c>
      <c r="J29" s="203">
        <v>7.3388728046994043</v>
      </c>
      <c r="K29" s="203">
        <f t="shared" si="2"/>
        <v>11.450821528471934</v>
      </c>
      <c r="L29" s="203">
        <f t="shared" si="3"/>
        <v>13.237023381333595</v>
      </c>
      <c r="M29" s="203">
        <f t="shared" si="3"/>
        <v>23.818222888793748</v>
      </c>
      <c r="N29" s="203">
        <f t="shared" si="3"/>
        <v>15.763514922087717</v>
      </c>
      <c r="Q29" s="208">
        <f t="shared" si="27"/>
        <v>314.46805016701762</v>
      </c>
      <c r="R29" s="209"/>
      <c r="U29" s="22">
        <v>2044</v>
      </c>
      <c r="V29" s="186">
        <f t="shared" si="28"/>
        <v>151865</v>
      </c>
      <c r="W29" s="186">
        <f t="shared" si="28"/>
        <v>156888.00000000009</v>
      </c>
      <c r="X29" s="186">
        <f t="shared" si="28"/>
        <v>207717.8000000001</v>
      </c>
      <c r="Y29" s="186">
        <f t="shared" si="28"/>
        <v>181443.1999999999</v>
      </c>
      <c r="Z29" s="203"/>
      <c r="AA29" s="203"/>
      <c r="AB29" s="202"/>
      <c r="AC29" s="186">
        <f t="shared" si="21"/>
        <v>139788.33333333334</v>
      </c>
      <c r="AD29" s="186">
        <f t="shared" si="22"/>
        <v>12124.173886171891</v>
      </c>
      <c r="AE29" s="186">
        <f t="shared" si="23"/>
        <v>16969.417706523138</v>
      </c>
      <c r="AF29" s="186">
        <f t="shared" si="24"/>
        <v>58880.766567504499</v>
      </c>
      <c r="AG29" s="186">
        <f t="shared" si="25"/>
        <v>38346.93897251712</v>
      </c>
      <c r="AJ29" s="212">
        <f t="shared" si="5"/>
        <v>2.4778240996200469</v>
      </c>
      <c r="AK29" s="212">
        <f t="shared" si="6"/>
        <v>2.7949290074848943</v>
      </c>
      <c r="AL29" s="212">
        <f t="shared" si="7"/>
        <v>6.2455701580042708</v>
      </c>
      <c r="AM29" s="212">
        <f t="shared" si="8"/>
        <v>5.2657673126896851</v>
      </c>
    </row>
    <row r="30" spans="1:39" x14ac:dyDescent="0.2">
      <c r="A30" s="22">
        <v>2045</v>
      </c>
      <c r="B30" s="203">
        <f t="shared" si="13"/>
        <v>7.0777995262828766</v>
      </c>
      <c r="C30" s="203">
        <f t="shared" si="26"/>
        <v>11.524091061876847</v>
      </c>
      <c r="D30" s="203">
        <f t="shared" si="26"/>
        <v>13.436877036378062</v>
      </c>
      <c r="E30" s="203">
        <f t="shared" si="20"/>
        <v>24.173369795854057</v>
      </c>
      <c r="F30" s="203">
        <f t="shared" si="26"/>
        <v>16.047162430801563</v>
      </c>
      <c r="G30" s="203"/>
      <c r="H30" s="203"/>
      <c r="I30" s="260">
        <f t="shared" si="16"/>
        <v>7.1444757281597369</v>
      </c>
      <c r="J30" s="203">
        <v>7.3392889813327091</v>
      </c>
      <c r="K30" s="203">
        <f t="shared" si="2"/>
        <v>11.687686638213263</v>
      </c>
      <c r="L30" s="203">
        <f t="shared" si="3"/>
        <v>13.627626452633526</v>
      </c>
      <c r="M30" s="203">
        <f t="shared" si="3"/>
        <v>24.516534071675217</v>
      </c>
      <c r="N30" s="203">
        <f t="shared" si="3"/>
        <v>16.274967363297776</v>
      </c>
      <c r="Q30" s="208">
        <f t="shared" si="27"/>
        <v>316.31336950428096</v>
      </c>
      <c r="R30" s="209"/>
      <c r="U30" s="22">
        <v>2045</v>
      </c>
      <c r="V30" s="186">
        <f t="shared" si="28"/>
        <v>151905</v>
      </c>
      <c r="W30" s="186">
        <f t="shared" si="28"/>
        <v>156778.33333333343</v>
      </c>
      <c r="X30" s="186">
        <f t="shared" si="28"/>
        <v>200099.00000000012</v>
      </c>
      <c r="Y30" s="186">
        <f t="shared" si="28"/>
        <v>178657.99999999988</v>
      </c>
      <c r="Z30" s="203"/>
      <c r="AA30" s="203"/>
      <c r="AB30" s="202"/>
      <c r="AC30" s="186">
        <f t="shared" si="21"/>
        <v>139788.33333333334</v>
      </c>
      <c r="AD30" s="186">
        <f t="shared" si="22"/>
        <v>12183.046583371472</v>
      </c>
      <c r="AE30" s="186">
        <f t="shared" si="23"/>
        <v>16808.008395034289</v>
      </c>
      <c r="AF30" s="186">
        <f t="shared" si="24"/>
        <v>47667.283931900587</v>
      </c>
      <c r="AG30" s="186">
        <f t="shared" si="25"/>
        <v>34247.633066510432</v>
      </c>
      <c r="AJ30" s="212">
        <f t="shared" si="5"/>
        <v>2.4033067101290131</v>
      </c>
      <c r="AK30" s="212">
        <f t="shared" si="6"/>
        <v>2.6733426340577537</v>
      </c>
      <c r="AL30" s="212">
        <f t="shared" si="7"/>
        <v>4.9932114303629529</v>
      </c>
      <c r="AM30" s="212">
        <f t="shared" si="8"/>
        <v>4.5780143249595167</v>
      </c>
    </row>
    <row r="31" spans="1:39" x14ac:dyDescent="0.2">
      <c r="A31" s="22">
        <v>2046</v>
      </c>
      <c r="B31" s="203">
        <f t="shared" si="13"/>
        <v>7.0777995262828766</v>
      </c>
      <c r="C31" s="203">
        <f t="shared" si="26"/>
        <v>11.701781252752575</v>
      </c>
      <c r="D31" s="203">
        <f t="shared" si="26"/>
        <v>13.729897542318032</v>
      </c>
      <c r="E31" s="203">
        <f t="shared" si="20"/>
        <v>24.697225113812745</v>
      </c>
      <c r="F31" s="203">
        <f t="shared" si="26"/>
        <v>16.430841065454509</v>
      </c>
      <c r="G31" s="203"/>
      <c r="H31" s="203"/>
      <c r="I31" s="260">
        <f t="shared" si="16"/>
        <v>7.1444757281597369</v>
      </c>
      <c r="J31" s="203">
        <v>7.3397051579660149</v>
      </c>
      <c r="K31" s="203">
        <f t="shared" si="2"/>
        <v>11.867899312556846</v>
      </c>
      <c r="L31" s="203">
        <f t="shared" si="3"/>
        <v>13.924806666986962</v>
      </c>
      <c r="M31" s="203">
        <f t="shared" si="3"/>
        <v>25.047826020618352</v>
      </c>
      <c r="N31" s="203">
        <f t="shared" si="3"/>
        <v>16.664092685852353</v>
      </c>
      <c r="Q31" s="208">
        <f t="shared" si="27"/>
        <v>318.15868884154429</v>
      </c>
      <c r="R31" s="209"/>
      <c r="U31" s="22">
        <v>2046</v>
      </c>
      <c r="V31" s="186">
        <f t="shared" si="28"/>
        <v>151945</v>
      </c>
      <c r="W31" s="186">
        <f t="shared" si="28"/>
        <v>156668.66666666677</v>
      </c>
      <c r="X31" s="186">
        <f t="shared" si="28"/>
        <v>192480.20000000013</v>
      </c>
      <c r="Y31" s="186">
        <f t="shared" si="28"/>
        <v>175872.79999999987</v>
      </c>
      <c r="Z31" s="203"/>
      <c r="AA31" s="203"/>
      <c r="AB31" s="202"/>
      <c r="AC31" s="186">
        <f t="shared" si="21"/>
        <v>139788.33333333334</v>
      </c>
      <c r="AD31" s="186">
        <f t="shared" si="22"/>
        <v>12227.838347847643</v>
      </c>
      <c r="AE31" s="186">
        <f t="shared" si="23"/>
        <v>16685.204307428787</v>
      </c>
      <c r="AF31" s="186">
        <f t="shared" si="24"/>
        <v>39135.796552124186</v>
      </c>
      <c r="AG31" s="186">
        <f t="shared" si="25"/>
        <v>31128.782506034571</v>
      </c>
      <c r="AJ31" s="212">
        <f t="shared" si="5"/>
        <v>2.3522155483073246</v>
      </c>
      <c r="AK31" s="212">
        <f t="shared" si="6"/>
        <v>2.5896247869004547</v>
      </c>
      <c r="AL31" s="212">
        <f t="shared" si="7"/>
        <v>4.0630330267139243</v>
      </c>
      <c r="AM31" s="212">
        <f t="shared" si="8"/>
        <v>4.0832136740690173</v>
      </c>
    </row>
    <row r="32" spans="1:39" x14ac:dyDescent="0.2">
      <c r="A32" s="22">
        <v>2047</v>
      </c>
      <c r="B32" s="203">
        <f t="shared" si="13"/>
        <v>7.0777995262828766</v>
      </c>
      <c r="C32" s="203">
        <f t="shared" si="26"/>
        <v>11.827213287438697</v>
      </c>
      <c r="D32" s="203">
        <f t="shared" si="26"/>
        <v>13.936741589722496</v>
      </c>
      <c r="E32" s="203">
        <f t="shared" si="20"/>
        <v>25.067016142168711</v>
      </c>
      <c r="F32" s="203">
        <f t="shared" si="26"/>
        <v>16.70168095578796</v>
      </c>
      <c r="G32" s="203"/>
      <c r="H32" s="203"/>
      <c r="I32" s="260">
        <f t="shared" si="16"/>
        <v>7.1444757281597369</v>
      </c>
      <c r="J32" s="203">
        <v>7.3401213345993206</v>
      </c>
      <c r="K32" s="203">
        <f t="shared" si="2"/>
        <v>11.995111975831838</v>
      </c>
      <c r="L32" s="203">
        <f t="shared" si="3"/>
        <v>14.134587064943084</v>
      </c>
      <c r="M32" s="203">
        <f t="shared" si="3"/>
        <v>25.422866588923547</v>
      </c>
      <c r="N32" s="203">
        <f t="shared" si="3"/>
        <v>16.938777409389228</v>
      </c>
      <c r="Q32" s="208">
        <f t="shared" si="27"/>
        <v>320.00400817880762</v>
      </c>
      <c r="R32" s="209"/>
      <c r="U32" s="22">
        <v>2047</v>
      </c>
      <c r="V32" s="186">
        <f t="shared" si="28"/>
        <v>151985</v>
      </c>
      <c r="W32" s="186">
        <f t="shared" si="28"/>
        <v>156559.00000000012</v>
      </c>
      <c r="X32" s="186">
        <f t="shared" si="28"/>
        <v>184861.40000000014</v>
      </c>
      <c r="Y32" s="186">
        <f t="shared" si="28"/>
        <v>173087.59999999986</v>
      </c>
      <c r="Z32" s="203"/>
      <c r="AA32" s="203"/>
      <c r="AB32" s="202"/>
      <c r="AC32" s="186">
        <f t="shared" si="21"/>
        <v>139788.33333333334</v>
      </c>
      <c r="AD32" s="186">
        <f t="shared" si="22"/>
        <v>12259.456987727192</v>
      </c>
      <c r="AE32" s="186">
        <f t="shared" si="23"/>
        <v>16598.516536425694</v>
      </c>
      <c r="AF32" s="186">
        <f t="shared" si="24"/>
        <v>33113.394214266766</v>
      </c>
      <c r="AG32" s="186">
        <f t="shared" si="25"/>
        <v>28927.17661122165</v>
      </c>
      <c r="AJ32" s="212">
        <f t="shared" si="5"/>
        <v>2.318782251914711</v>
      </c>
      <c r="AK32" s="212">
        <f t="shared" si="6"/>
        <v>2.5345468727016187</v>
      </c>
      <c r="AL32" s="212">
        <f t="shared" si="7"/>
        <v>3.4171739955236506</v>
      </c>
      <c r="AM32" s="212">
        <f t="shared" si="8"/>
        <v>3.7469760419308908</v>
      </c>
    </row>
    <row r="33" spans="1:39" x14ac:dyDescent="0.2">
      <c r="A33" s="22">
        <v>2048</v>
      </c>
      <c r="B33" s="203">
        <f t="shared" si="13"/>
        <v>7.0777995262828766</v>
      </c>
      <c r="C33" s="203">
        <f t="shared" si="26"/>
        <v>11.911146434783033</v>
      </c>
      <c r="D33" s="203">
        <f t="shared" si="26"/>
        <v>14.075151780959061</v>
      </c>
      <c r="E33" s="203">
        <f t="shared" si="20"/>
        <v>25.314462697167862</v>
      </c>
      <c r="F33" s="203">
        <f t="shared" si="26"/>
        <v>16.882914119062129</v>
      </c>
      <c r="G33" s="203"/>
      <c r="H33" s="203"/>
      <c r="I33" s="260">
        <f t="shared" si="16"/>
        <v>7.1444757281597369</v>
      </c>
      <c r="J33" s="203">
        <v>7.3405375112326254</v>
      </c>
      <c r="K33" s="203">
        <f t="shared" si="2"/>
        <v>12.080236635074145</v>
      </c>
      <c r="L33" s="203">
        <f t="shared" si="3"/>
        <v>14.274962122205489</v>
      </c>
      <c r="M33" s="203">
        <f t="shared" si="3"/>
        <v>25.673825886191064</v>
      </c>
      <c r="N33" s="203">
        <f t="shared" si="3"/>
        <v>17.12258335203818</v>
      </c>
      <c r="Q33" s="208">
        <f t="shared" si="27"/>
        <v>321.84932751607096</v>
      </c>
      <c r="R33" s="209"/>
      <c r="U33" s="22">
        <v>2048</v>
      </c>
      <c r="V33" s="186">
        <f t="shared" si="28"/>
        <v>152025</v>
      </c>
      <c r="W33" s="186">
        <f t="shared" si="28"/>
        <v>156449.33333333346</v>
      </c>
      <c r="X33" s="186">
        <f t="shared" si="28"/>
        <v>177242.60000000015</v>
      </c>
      <c r="Y33" s="186">
        <f t="shared" si="28"/>
        <v>170302.39999999985</v>
      </c>
      <c r="Z33" s="203"/>
      <c r="AA33" s="203"/>
      <c r="AB33" s="202"/>
      <c r="AC33" s="186">
        <f t="shared" si="21"/>
        <v>139788.33333333334</v>
      </c>
      <c r="AD33" s="186">
        <f t="shared" si="22"/>
        <v>12280.614676562252</v>
      </c>
      <c r="AE33" s="186">
        <f t="shared" si="23"/>
        <v>16540.5092062029</v>
      </c>
      <c r="AF33" s="186">
        <f t="shared" si="24"/>
        <v>29083.489221852622</v>
      </c>
      <c r="AG33" s="186">
        <f t="shared" si="25"/>
        <v>27453.966737636329</v>
      </c>
      <c r="AJ33" s="212">
        <f t="shared" si="5"/>
        <v>2.2975905446164644</v>
      </c>
      <c r="AK33" s="212">
        <f t="shared" si="6"/>
        <v>2.4994316861107504</v>
      </c>
      <c r="AL33" s="212">
        <f t="shared" si="7"/>
        <v>2.9896792203105482</v>
      </c>
      <c r="AM33" s="212">
        <f t="shared" si="8"/>
        <v>3.5275449850879603</v>
      </c>
    </row>
    <row r="34" spans="1:39" x14ac:dyDescent="0.2">
      <c r="A34" s="22">
        <v>2049</v>
      </c>
      <c r="B34" s="203">
        <f t="shared" si="13"/>
        <v>7.0777995262828766</v>
      </c>
      <c r="C34" s="203">
        <f t="shared" si="26"/>
        <v>11.965319606777793</v>
      </c>
      <c r="D34" s="203">
        <f t="shared" si="26"/>
        <v>14.164486201660871</v>
      </c>
      <c r="E34" s="203">
        <f t="shared" si="20"/>
        <v>25.474172718865077</v>
      </c>
      <c r="F34" s="203">
        <f t="shared" si="26"/>
        <v>16.999887873006177</v>
      </c>
      <c r="G34" s="203"/>
      <c r="H34" s="203"/>
      <c r="I34" s="260">
        <f t="shared" si="16"/>
        <v>7.1444757281597369</v>
      </c>
      <c r="J34" s="203">
        <v>7.3409536878659303</v>
      </c>
      <c r="K34" s="203">
        <f t="shared" si="2"/>
        <v>12.135178847442406</v>
      </c>
      <c r="L34" s="203">
        <f t="shared" si="3"/>
        <v>14.365564731084826</v>
      </c>
      <c r="M34" s="203">
        <f t="shared" si="3"/>
        <v>25.83580314553037</v>
      </c>
      <c r="N34" s="203">
        <f t="shared" si="3"/>
        <v>17.241217661126228</v>
      </c>
      <c r="Q34" s="208">
        <f t="shared" si="27"/>
        <v>323.69464685333429</v>
      </c>
      <c r="R34" s="209"/>
      <c r="U34" s="22">
        <v>2049</v>
      </c>
      <c r="V34" s="186">
        <f t="shared" si="28"/>
        <v>152065</v>
      </c>
      <c r="W34" s="186">
        <f t="shared" si="28"/>
        <v>156339.6666666668</v>
      </c>
      <c r="X34" s="186">
        <f t="shared" si="28"/>
        <v>169623.80000000016</v>
      </c>
      <c r="Y34" s="186">
        <f t="shared" si="28"/>
        <v>167517.19999999984</v>
      </c>
      <c r="Z34" s="203"/>
      <c r="AA34" s="203"/>
      <c r="AB34" s="202"/>
      <c r="AC34" s="186">
        <f t="shared" si="21"/>
        <v>139788.33333333334</v>
      </c>
      <c r="AD34" s="186">
        <f t="shared" si="22"/>
        <v>12294.27053426018</v>
      </c>
      <c r="AE34" s="186">
        <f t="shared" si="23"/>
        <v>16503.06939634775</v>
      </c>
      <c r="AF34" s="186">
        <f t="shared" si="24"/>
        <v>26482.458006128392</v>
      </c>
      <c r="AG34" s="186">
        <f t="shared" si="25"/>
        <v>26503.109366129676</v>
      </c>
      <c r="AJ34" s="212">
        <f t="shared" si="5"/>
        <v>2.2844570869671941</v>
      </c>
      <c r="AK34" s="212">
        <f t="shared" si="6"/>
        <v>2.4775226377743307</v>
      </c>
      <c r="AL34" s="212">
        <f t="shared" si="7"/>
        <v>2.7157009403811081</v>
      </c>
      <c r="AM34" s="212">
        <f t="shared" si="8"/>
        <v>3.3882111951959999</v>
      </c>
    </row>
    <row r="35" spans="1:39" x14ac:dyDescent="0.2">
      <c r="A35" s="200">
        <v>2050</v>
      </c>
      <c r="B35" s="201">
        <f t="shared" si="13"/>
        <v>7.0777995262828766</v>
      </c>
      <c r="C35" s="201">
        <f>C$3*'Class 8 Day Cab'!$G67</f>
        <v>12.054165694640711</v>
      </c>
      <c r="D35" s="201">
        <f>D$3*'Class 8 Day Cab'!$Q67</f>
        <v>14.310998091192166</v>
      </c>
      <c r="E35" s="201">
        <f>E$3*'Class 8 Day Cab'!$L78</f>
        <v>25.736103303651074</v>
      </c>
      <c r="F35" s="201">
        <f>F$3*'Class 8 Day Cab'!$V67</f>
        <v>17.191729333232534</v>
      </c>
      <c r="G35" s="201"/>
      <c r="H35" s="201"/>
      <c r="I35" s="260">
        <f t="shared" si="16"/>
        <v>7.1444757281597369</v>
      </c>
      <c r="J35" s="203">
        <v>7.341369864499236</v>
      </c>
      <c r="K35" s="203">
        <f t="shared" si="2"/>
        <v>12.22528619112768</v>
      </c>
      <c r="L35" s="203">
        <f t="shared" si="3"/>
        <v>14.514156498055417</v>
      </c>
      <c r="M35" s="203">
        <f t="shared" si="3"/>
        <v>26.10145208734323</v>
      </c>
      <c r="N35" s="203">
        <f t="shared" si="3"/>
        <v>17.435782495723927</v>
      </c>
      <c r="Q35" s="204">
        <f>'Class 8 Day Cab'!L73</f>
        <v>325.53996619059751</v>
      </c>
      <c r="R35" s="205"/>
      <c r="S35" s="200"/>
      <c r="U35" s="200">
        <v>2050</v>
      </c>
      <c r="V35" s="206">
        <f>'Class 8 Day Cab'!G$83</f>
        <v>152105</v>
      </c>
      <c r="W35" s="206">
        <f>'Class 8 Day Cab'!$Q$83</f>
        <v>156230</v>
      </c>
      <c r="X35" s="206">
        <f>'Class 8 Day Cab'!$L$83</f>
        <v>162005</v>
      </c>
      <c r="Y35" s="206">
        <f>'Class 8 Day Cab'!$V$83</f>
        <v>164732</v>
      </c>
      <c r="Z35" s="201"/>
      <c r="AA35" s="201"/>
      <c r="AB35" s="202"/>
      <c r="AC35" s="219">
        <f t="shared" si="11"/>
        <v>139788.33333333334</v>
      </c>
      <c r="AD35" s="206">
        <f t="shared" ref="AD35" si="29">V35-$AC35</f>
        <v>12316.666666666657</v>
      </c>
      <c r="AE35" s="206">
        <f>W35-$AC35</f>
        <v>16441.666666666657</v>
      </c>
      <c r="AF35" s="206">
        <f>X35-$AC35</f>
        <v>22216.666666666657</v>
      </c>
      <c r="AG35" s="206">
        <f>Y35-$AC35</f>
        <v>24943.666666666657</v>
      </c>
      <c r="AH35" s="200"/>
      <c r="AJ35" s="212">
        <f t="shared" si="5"/>
        <v>2.263398963101944</v>
      </c>
      <c r="AK35" s="212">
        <f t="shared" si="6"/>
        <v>2.4424564750405864</v>
      </c>
      <c r="AL35" s="212">
        <f t="shared" si="7"/>
        <v>2.2692687637343858</v>
      </c>
      <c r="AM35" s="212">
        <f t="shared" si="8"/>
        <v>3.1629897766295678</v>
      </c>
    </row>
    <row r="37" spans="1:39" x14ac:dyDescent="0.2">
      <c r="C37" s="22">
        <f>C35/$J$35</f>
        <v>1.6419504693437674</v>
      </c>
      <c r="D37" s="22">
        <f>D35/$J$35</f>
        <v>1.9493634506001474</v>
      </c>
      <c r="E37" s="22">
        <f>E35/$J$35</f>
        <v>3.5056268487579554</v>
      </c>
      <c r="K37" s="22">
        <f>K35/$J$35</f>
        <v>1.6652595383111897</v>
      </c>
      <c r="L37" s="22">
        <f>L35/$J$35</f>
        <v>1.9770365430356158</v>
      </c>
      <c r="M37" s="22">
        <f>M35/$J$35</f>
        <v>3.5553925996239997</v>
      </c>
    </row>
    <row r="38" spans="1:39" ht="15" thickBot="1" x14ac:dyDescent="0.25"/>
    <row r="39" spans="1:39" x14ac:dyDescent="0.2">
      <c r="A39" s="22" t="s">
        <v>200</v>
      </c>
      <c r="B39" s="22" t="s">
        <v>203</v>
      </c>
      <c r="C39" s="213">
        <v>1.1000000000000001</v>
      </c>
      <c r="D39" s="22" t="s">
        <v>224</v>
      </c>
    </row>
    <row r="40" spans="1:39" x14ac:dyDescent="0.2">
      <c r="C40" s="214">
        <v>1.3</v>
      </c>
      <c r="D40" s="22" t="s">
        <v>225</v>
      </c>
    </row>
    <row r="41" spans="1:39" ht="15" thickBot="1" x14ac:dyDescent="0.25">
      <c r="C41" s="215">
        <v>2</v>
      </c>
      <c r="D41" s="216" t="s">
        <v>226</v>
      </c>
    </row>
    <row r="42" spans="1:39" x14ac:dyDescent="0.2">
      <c r="B42" s="22" t="s">
        <v>202</v>
      </c>
      <c r="C42" s="213">
        <v>0.55000000000000004</v>
      </c>
      <c r="D42" s="22" t="s">
        <v>224</v>
      </c>
    </row>
    <row r="43" spans="1:39" x14ac:dyDescent="0.2">
      <c r="C43" s="214">
        <v>0.35</v>
      </c>
      <c r="D43" s="22" t="s">
        <v>225</v>
      </c>
    </row>
    <row r="44" spans="1:39" ht="15" thickBot="1" x14ac:dyDescent="0.25">
      <c r="C44" s="215">
        <v>0.5</v>
      </c>
      <c r="D44" s="22" t="s">
        <v>226</v>
      </c>
    </row>
    <row r="57" spans="2:31" ht="15" thickBot="1" x14ac:dyDescent="0.25">
      <c r="B57" s="253" t="s">
        <v>318</v>
      </c>
    </row>
    <row r="58" spans="2:31" ht="17" thickBot="1" x14ac:dyDescent="0.25">
      <c r="B58" s="280"/>
      <c r="C58" s="378" t="s">
        <v>305</v>
      </c>
      <c r="D58" s="379"/>
      <c r="E58" s="379"/>
      <c r="F58" s="379"/>
      <c r="G58" s="379"/>
      <c r="H58" s="379"/>
      <c r="I58" s="379" t="s">
        <v>306</v>
      </c>
      <c r="J58" s="379"/>
      <c r="K58" s="379"/>
      <c r="L58" s="379"/>
      <c r="M58" s="380"/>
      <c r="N58" s="381" t="s">
        <v>307</v>
      </c>
      <c r="O58" s="382"/>
      <c r="P58" s="382"/>
      <c r="Q58" s="382"/>
      <c r="R58" s="382"/>
      <c r="S58" s="383"/>
      <c r="T58" s="381" t="s">
        <v>308</v>
      </c>
      <c r="U58" s="382"/>
      <c r="V58" s="382"/>
      <c r="W58" s="382"/>
      <c r="X58" s="382"/>
      <c r="Y58" s="383"/>
      <c r="Z58" s="381" t="s">
        <v>309</v>
      </c>
      <c r="AA58" s="382"/>
      <c r="AB58" s="382"/>
      <c r="AC58" s="382"/>
      <c r="AD58" s="382"/>
      <c r="AE58" s="383"/>
    </row>
    <row r="59" spans="2:31" ht="15" thickBot="1" x14ac:dyDescent="0.25">
      <c r="B59" s="281" t="s">
        <v>310</v>
      </c>
      <c r="C59" s="282" t="s">
        <v>311</v>
      </c>
      <c r="D59" s="283" t="s">
        <v>312</v>
      </c>
      <c r="E59" s="284" t="s">
        <v>313</v>
      </c>
      <c r="F59" s="283" t="s">
        <v>314</v>
      </c>
      <c r="G59" s="284" t="s">
        <v>315</v>
      </c>
      <c r="H59" s="283" t="s">
        <v>316</v>
      </c>
      <c r="I59" s="283" t="s">
        <v>312</v>
      </c>
      <c r="J59" s="284" t="s">
        <v>313</v>
      </c>
      <c r="K59" s="283" t="s">
        <v>314</v>
      </c>
      <c r="L59" s="284" t="s">
        <v>315</v>
      </c>
      <c r="M59" s="285" t="s">
        <v>316</v>
      </c>
      <c r="N59" s="286" t="s">
        <v>311</v>
      </c>
      <c r="O59" s="287" t="s">
        <v>312</v>
      </c>
      <c r="P59" s="288" t="s">
        <v>313</v>
      </c>
      <c r="Q59" s="287" t="s">
        <v>314</v>
      </c>
      <c r="R59" s="288" t="s">
        <v>315</v>
      </c>
      <c r="S59" s="287" t="s">
        <v>316</v>
      </c>
      <c r="T59" s="287" t="s">
        <v>311</v>
      </c>
      <c r="U59" s="287" t="s">
        <v>312</v>
      </c>
      <c r="V59" s="288" t="s">
        <v>313</v>
      </c>
      <c r="W59" s="287" t="s">
        <v>314</v>
      </c>
      <c r="X59" s="288" t="s">
        <v>315</v>
      </c>
      <c r="Y59" s="289" t="s">
        <v>316</v>
      </c>
      <c r="Z59" s="287" t="s">
        <v>311</v>
      </c>
      <c r="AA59" s="287" t="s">
        <v>312</v>
      </c>
      <c r="AB59" s="288" t="s">
        <v>313</v>
      </c>
      <c r="AC59" s="287" t="s">
        <v>314</v>
      </c>
      <c r="AD59" s="288" t="s">
        <v>315</v>
      </c>
      <c r="AE59" s="289" t="s">
        <v>316</v>
      </c>
    </row>
    <row r="60" spans="2:31" ht="15" thickBot="1" x14ac:dyDescent="0.25">
      <c r="B60" s="291" t="s">
        <v>317</v>
      </c>
      <c r="C60" s="292"/>
      <c r="D60" s="293" t="str">
        <f>K4</f>
        <v>Adv Conv</v>
      </c>
      <c r="E60" s="293" t="str">
        <f t="shared" ref="E60:H60" si="30">L4</f>
        <v>HEV</v>
      </c>
      <c r="F60" s="293" t="str">
        <f t="shared" si="30"/>
        <v>BEV</v>
      </c>
      <c r="G60" s="293" t="str">
        <f t="shared" si="30"/>
        <v>FCEV</v>
      </c>
      <c r="H60" s="294" t="str">
        <f t="shared" si="30"/>
        <v>PHEV</v>
      </c>
      <c r="I60" s="295">
        <v>0</v>
      </c>
      <c r="J60" s="296">
        <v>0</v>
      </c>
      <c r="K60" s="296">
        <v>0</v>
      </c>
      <c r="L60" s="296">
        <v>0</v>
      </c>
      <c r="M60" s="297">
        <v>0</v>
      </c>
      <c r="N60" s="298"/>
      <c r="O60" s="293" t="str">
        <f>D60</f>
        <v>Adv Conv</v>
      </c>
      <c r="P60" s="293" t="str">
        <f t="shared" ref="P60:S60" si="31">E60</f>
        <v>HEV</v>
      </c>
      <c r="Q60" s="293" t="str">
        <f t="shared" si="31"/>
        <v>BEV</v>
      </c>
      <c r="R60" s="293" t="str">
        <f t="shared" si="31"/>
        <v>FCEV</v>
      </c>
      <c r="S60" s="294" t="str">
        <f t="shared" si="31"/>
        <v>PHEV</v>
      </c>
      <c r="T60" s="299"/>
      <c r="U60" s="293" t="str">
        <f>O60</f>
        <v>Adv Conv</v>
      </c>
      <c r="V60" s="293" t="str">
        <f t="shared" ref="V60:Y60" si="32">P60</f>
        <v>HEV</v>
      </c>
      <c r="W60" s="293" t="str">
        <f t="shared" si="32"/>
        <v>BEV</v>
      </c>
      <c r="X60" s="293" t="str">
        <f t="shared" si="32"/>
        <v>FCEV</v>
      </c>
      <c r="Y60" s="294" t="str">
        <f t="shared" si="32"/>
        <v>PHEV</v>
      </c>
      <c r="Z60" s="298"/>
      <c r="AA60" s="293" t="str">
        <f t="shared" ref="AA60:AE60" si="33">U60</f>
        <v>Adv Conv</v>
      </c>
      <c r="AB60" s="293" t="str">
        <f t="shared" si="33"/>
        <v>HEV</v>
      </c>
      <c r="AC60" s="293" t="str">
        <f t="shared" si="33"/>
        <v>BEV</v>
      </c>
      <c r="AD60" s="293" t="str">
        <f t="shared" si="33"/>
        <v>FCEV</v>
      </c>
      <c r="AE60" s="294" t="str">
        <f t="shared" si="33"/>
        <v>PHEV</v>
      </c>
    </row>
    <row r="61" spans="2:31" x14ac:dyDescent="0.2">
      <c r="B61" s="300">
        <v>2007</v>
      </c>
      <c r="C61" s="301">
        <f t="shared" ref="C61:C73" si="34">C62</f>
        <v>138005</v>
      </c>
      <c r="D61" s="302">
        <v>1000000</v>
      </c>
      <c r="E61" s="302">
        <v>1000000</v>
      </c>
      <c r="F61" s="302">
        <v>1000000</v>
      </c>
      <c r="G61" s="302">
        <v>1000000</v>
      </c>
      <c r="H61" s="303">
        <v>1000000</v>
      </c>
      <c r="I61" s="304">
        <f>D61*I60</f>
        <v>0</v>
      </c>
      <c r="J61" s="305">
        <f>E61*J60</f>
        <v>0</v>
      </c>
      <c r="K61" s="305">
        <f>F61*K60</f>
        <v>0</v>
      </c>
      <c r="L61" s="305">
        <f>G61*L60</f>
        <v>0</v>
      </c>
      <c r="M61" s="306">
        <f>H61*M60</f>
        <v>0</v>
      </c>
      <c r="N61" s="371">
        <v>5.9278738513698928</v>
      </c>
      <c r="O61" s="308">
        <v>1</v>
      </c>
      <c r="P61" s="308">
        <v>1</v>
      </c>
      <c r="Q61" s="308">
        <v>1</v>
      </c>
      <c r="R61" s="308">
        <v>1</v>
      </c>
      <c r="S61" s="309">
        <v>1</v>
      </c>
      <c r="T61" s="310">
        <v>1</v>
      </c>
      <c r="U61" s="311">
        <v>1</v>
      </c>
      <c r="V61" s="311">
        <v>1</v>
      </c>
      <c r="W61" s="311">
        <v>1</v>
      </c>
      <c r="X61" s="311">
        <v>1</v>
      </c>
      <c r="Y61" s="312">
        <v>1</v>
      </c>
      <c r="Z61" s="310">
        <v>0</v>
      </c>
      <c r="AA61" s="311">
        <v>0</v>
      </c>
      <c r="AB61" s="311">
        <v>0</v>
      </c>
      <c r="AC61" s="311">
        <v>0</v>
      </c>
      <c r="AD61" s="311">
        <v>0</v>
      </c>
      <c r="AE61" s="312">
        <v>0</v>
      </c>
    </row>
    <row r="62" spans="2:31" x14ac:dyDescent="0.2">
      <c r="B62" s="313">
        <v>2008</v>
      </c>
      <c r="C62" s="314">
        <f t="shared" si="34"/>
        <v>138005</v>
      </c>
      <c r="D62" s="315">
        <v>1000000</v>
      </c>
      <c r="E62" s="315">
        <v>1000000</v>
      </c>
      <c r="F62" s="315">
        <v>1000000</v>
      </c>
      <c r="G62" s="315">
        <v>1000000</v>
      </c>
      <c r="H62" s="316">
        <v>1000000</v>
      </c>
      <c r="I62" s="317">
        <f>D62*I60</f>
        <v>0</v>
      </c>
      <c r="J62" s="318">
        <f>E62*J60</f>
        <v>0</v>
      </c>
      <c r="K62" s="318">
        <f>F62*K60</f>
        <v>0</v>
      </c>
      <c r="L62" s="318">
        <f>G62*L60</f>
        <v>0</v>
      </c>
      <c r="M62" s="319">
        <f>H62*M60</f>
        <v>0</v>
      </c>
      <c r="N62" s="372">
        <v>5.9278738513698928</v>
      </c>
      <c r="O62" s="321">
        <v>1</v>
      </c>
      <c r="P62" s="321">
        <v>1</v>
      </c>
      <c r="Q62" s="321">
        <v>1</v>
      </c>
      <c r="R62" s="321">
        <v>1</v>
      </c>
      <c r="S62" s="322">
        <v>1</v>
      </c>
      <c r="T62" s="323">
        <v>1</v>
      </c>
      <c r="U62" s="324">
        <v>1</v>
      </c>
      <c r="V62" s="324">
        <v>1</v>
      </c>
      <c r="W62" s="324">
        <v>1</v>
      </c>
      <c r="X62" s="324">
        <v>1</v>
      </c>
      <c r="Y62" s="325">
        <v>1</v>
      </c>
      <c r="Z62" s="323">
        <v>0</v>
      </c>
      <c r="AA62" s="324">
        <v>0</v>
      </c>
      <c r="AB62" s="324">
        <v>0</v>
      </c>
      <c r="AC62" s="324">
        <v>0</v>
      </c>
      <c r="AD62" s="324">
        <v>0</v>
      </c>
      <c r="AE62" s="325">
        <v>0</v>
      </c>
    </row>
    <row r="63" spans="2:31" x14ac:dyDescent="0.2">
      <c r="B63" s="313">
        <v>2009</v>
      </c>
      <c r="C63" s="314">
        <f t="shared" si="34"/>
        <v>138005</v>
      </c>
      <c r="D63" s="315">
        <v>1000000</v>
      </c>
      <c r="E63" s="315">
        <v>1000000</v>
      </c>
      <c r="F63" s="315">
        <v>1000000</v>
      </c>
      <c r="G63" s="315">
        <v>1000000</v>
      </c>
      <c r="H63" s="316">
        <v>1000000</v>
      </c>
      <c r="I63" s="317">
        <f>D63*I60</f>
        <v>0</v>
      </c>
      <c r="J63" s="318">
        <f>E63*J60</f>
        <v>0</v>
      </c>
      <c r="K63" s="318">
        <f>F63*K60</f>
        <v>0</v>
      </c>
      <c r="L63" s="318">
        <f>G63*L60</f>
        <v>0</v>
      </c>
      <c r="M63" s="319">
        <f>H63*M60</f>
        <v>0</v>
      </c>
      <c r="N63" s="372">
        <v>5.9278738513698928</v>
      </c>
      <c r="O63" s="321">
        <v>1</v>
      </c>
      <c r="P63" s="321">
        <v>1</v>
      </c>
      <c r="Q63" s="321">
        <v>1</v>
      </c>
      <c r="R63" s="321">
        <v>1</v>
      </c>
      <c r="S63" s="322">
        <v>1</v>
      </c>
      <c r="T63" s="323">
        <v>1</v>
      </c>
      <c r="U63" s="324">
        <v>1</v>
      </c>
      <c r="V63" s="324">
        <v>1</v>
      </c>
      <c r="W63" s="324">
        <v>1</v>
      </c>
      <c r="X63" s="324">
        <v>1</v>
      </c>
      <c r="Y63" s="325">
        <v>1</v>
      </c>
      <c r="Z63" s="323">
        <v>0</v>
      </c>
      <c r="AA63" s="324">
        <v>0</v>
      </c>
      <c r="AB63" s="324">
        <v>0</v>
      </c>
      <c r="AC63" s="324">
        <v>0</v>
      </c>
      <c r="AD63" s="324">
        <v>0</v>
      </c>
      <c r="AE63" s="325">
        <v>0</v>
      </c>
    </row>
    <row r="64" spans="2:31" ht="15" thickBot="1" x14ac:dyDescent="0.25">
      <c r="B64" s="326">
        <v>2010</v>
      </c>
      <c r="C64" s="373">
        <f t="shared" si="34"/>
        <v>138005</v>
      </c>
      <c r="D64" s="328">
        <v>1000000</v>
      </c>
      <c r="E64" s="328">
        <v>1000000</v>
      </c>
      <c r="F64" s="328">
        <v>1000000</v>
      </c>
      <c r="G64" s="328">
        <v>1000000</v>
      </c>
      <c r="H64" s="329">
        <v>1000000</v>
      </c>
      <c r="I64" s="330">
        <f>D64*I60</f>
        <v>0</v>
      </c>
      <c r="J64" s="331">
        <f>E64*J60</f>
        <v>0</v>
      </c>
      <c r="K64" s="331">
        <f>F64*K60</f>
        <v>0</v>
      </c>
      <c r="L64" s="331">
        <f>G64*L60</f>
        <v>0</v>
      </c>
      <c r="M64" s="332">
        <f>H64*M60</f>
        <v>0</v>
      </c>
      <c r="N64" s="374">
        <v>5.6529804659012148</v>
      </c>
      <c r="O64" s="334">
        <v>1</v>
      </c>
      <c r="P64" s="334">
        <v>1</v>
      </c>
      <c r="Q64" s="334">
        <v>1</v>
      </c>
      <c r="R64" s="334">
        <v>1</v>
      </c>
      <c r="S64" s="335">
        <v>1</v>
      </c>
      <c r="T64" s="336">
        <v>1</v>
      </c>
      <c r="U64" s="337">
        <v>1</v>
      </c>
      <c r="V64" s="337">
        <v>1</v>
      </c>
      <c r="W64" s="337">
        <v>1</v>
      </c>
      <c r="X64" s="337">
        <v>1</v>
      </c>
      <c r="Y64" s="338">
        <v>1</v>
      </c>
      <c r="Z64" s="336">
        <v>0</v>
      </c>
      <c r="AA64" s="337">
        <v>0</v>
      </c>
      <c r="AB64" s="337">
        <v>0</v>
      </c>
      <c r="AC64" s="337">
        <v>0</v>
      </c>
      <c r="AD64" s="337">
        <v>0</v>
      </c>
      <c r="AE64" s="338">
        <v>0</v>
      </c>
    </row>
    <row r="65" spans="2:31" x14ac:dyDescent="0.2">
      <c r="B65" s="300">
        <v>2011</v>
      </c>
      <c r="C65" s="339">
        <f t="shared" si="34"/>
        <v>138005</v>
      </c>
      <c r="D65" s="340">
        <v>1000000</v>
      </c>
      <c r="E65" s="340">
        <v>1000000</v>
      </c>
      <c r="F65" s="340">
        <v>1000000</v>
      </c>
      <c r="G65" s="340">
        <v>1000000</v>
      </c>
      <c r="H65" s="341">
        <v>1000000</v>
      </c>
      <c r="I65" s="304">
        <f>D65*I60</f>
        <v>0</v>
      </c>
      <c r="J65" s="305">
        <f>E65*J60</f>
        <v>0</v>
      </c>
      <c r="K65" s="305">
        <f>F65*K60</f>
        <v>0</v>
      </c>
      <c r="L65" s="305">
        <f>G65*L60</f>
        <v>0</v>
      </c>
      <c r="M65" s="306">
        <f>H65*M60</f>
        <v>0</v>
      </c>
      <c r="N65" s="375">
        <v>5.7697883792198912</v>
      </c>
      <c r="O65" s="343">
        <v>1</v>
      </c>
      <c r="P65" s="343">
        <v>1</v>
      </c>
      <c r="Q65" s="343">
        <v>1</v>
      </c>
      <c r="R65" s="343">
        <v>1</v>
      </c>
      <c r="S65" s="344">
        <v>1</v>
      </c>
      <c r="T65" s="345">
        <v>1</v>
      </c>
      <c r="U65" s="346">
        <v>1</v>
      </c>
      <c r="V65" s="346">
        <v>1</v>
      </c>
      <c r="W65" s="346">
        <v>1</v>
      </c>
      <c r="X65" s="346">
        <v>1</v>
      </c>
      <c r="Y65" s="347">
        <v>1</v>
      </c>
      <c r="Z65" s="345">
        <v>0</v>
      </c>
      <c r="AA65" s="346">
        <v>0</v>
      </c>
      <c r="AB65" s="346">
        <v>0</v>
      </c>
      <c r="AC65" s="346">
        <v>0</v>
      </c>
      <c r="AD65" s="346">
        <v>0</v>
      </c>
      <c r="AE65" s="347">
        <v>0</v>
      </c>
    </row>
    <row r="66" spans="2:31" x14ac:dyDescent="0.2">
      <c r="B66" s="313">
        <v>2012</v>
      </c>
      <c r="C66" s="314">
        <f t="shared" si="34"/>
        <v>138005</v>
      </c>
      <c r="D66" s="315">
        <v>1000000</v>
      </c>
      <c r="E66" s="315">
        <v>1000000</v>
      </c>
      <c r="F66" s="315">
        <v>1000000</v>
      </c>
      <c r="G66" s="315">
        <v>1000000</v>
      </c>
      <c r="H66" s="316">
        <v>1000000</v>
      </c>
      <c r="I66" s="317">
        <f>D66*I60</f>
        <v>0</v>
      </c>
      <c r="J66" s="318">
        <f>E66*J60</f>
        <v>0</v>
      </c>
      <c r="K66" s="318">
        <f>F66*K60</f>
        <v>0</v>
      </c>
      <c r="L66" s="318">
        <f>G66*L60</f>
        <v>0</v>
      </c>
      <c r="M66" s="319">
        <f>H66*M60</f>
        <v>0</v>
      </c>
      <c r="N66" s="372">
        <v>5.8156338758937807</v>
      </c>
      <c r="O66" s="321">
        <v>1</v>
      </c>
      <c r="P66" s="321">
        <v>1</v>
      </c>
      <c r="Q66" s="321">
        <v>1</v>
      </c>
      <c r="R66" s="321">
        <v>1</v>
      </c>
      <c r="S66" s="322">
        <v>1</v>
      </c>
      <c r="T66" s="323">
        <v>1</v>
      </c>
      <c r="U66" s="324">
        <v>1</v>
      </c>
      <c r="V66" s="324">
        <v>1</v>
      </c>
      <c r="W66" s="324">
        <v>1</v>
      </c>
      <c r="X66" s="324">
        <v>1</v>
      </c>
      <c r="Y66" s="325">
        <v>1</v>
      </c>
      <c r="Z66" s="323">
        <v>0</v>
      </c>
      <c r="AA66" s="324">
        <v>0</v>
      </c>
      <c r="AB66" s="324">
        <v>0</v>
      </c>
      <c r="AC66" s="324">
        <v>0</v>
      </c>
      <c r="AD66" s="324">
        <v>0</v>
      </c>
      <c r="AE66" s="325">
        <v>0</v>
      </c>
    </row>
    <row r="67" spans="2:31" x14ac:dyDescent="0.2">
      <c r="B67" s="313">
        <v>2013</v>
      </c>
      <c r="C67" s="314">
        <f t="shared" si="34"/>
        <v>138005</v>
      </c>
      <c r="D67" s="315">
        <v>1000000</v>
      </c>
      <c r="E67" s="315">
        <v>1000000</v>
      </c>
      <c r="F67" s="315">
        <v>1000000</v>
      </c>
      <c r="G67" s="315">
        <v>1000000</v>
      </c>
      <c r="H67" s="316">
        <v>1000000</v>
      </c>
      <c r="I67" s="317">
        <f>D67*I60</f>
        <v>0</v>
      </c>
      <c r="J67" s="318">
        <f>E67*J60</f>
        <v>0</v>
      </c>
      <c r="K67" s="318">
        <f>F67*K60</f>
        <v>0</v>
      </c>
      <c r="L67" s="318">
        <f>G67*L60</f>
        <v>0</v>
      </c>
      <c r="M67" s="319">
        <f>H67*M60</f>
        <v>0</v>
      </c>
      <c r="N67" s="372">
        <v>5.9244625288706905</v>
      </c>
      <c r="O67" s="321">
        <v>1</v>
      </c>
      <c r="P67" s="321">
        <v>1</v>
      </c>
      <c r="Q67" s="321">
        <v>1</v>
      </c>
      <c r="R67" s="321">
        <v>1</v>
      </c>
      <c r="S67" s="322">
        <v>1</v>
      </c>
      <c r="T67" s="323">
        <v>1</v>
      </c>
      <c r="U67" s="324">
        <v>1</v>
      </c>
      <c r="V67" s="324">
        <v>1</v>
      </c>
      <c r="W67" s="324">
        <v>1</v>
      </c>
      <c r="X67" s="324">
        <v>1</v>
      </c>
      <c r="Y67" s="325">
        <v>1</v>
      </c>
      <c r="Z67" s="323">
        <v>0</v>
      </c>
      <c r="AA67" s="324">
        <v>0</v>
      </c>
      <c r="AB67" s="324">
        <v>0</v>
      </c>
      <c r="AC67" s="324">
        <v>0</v>
      </c>
      <c r="AD67" s="324">
        <v>0</v>
      </c>
      <c r="AE67" s="325">
        <v>0</v>
      </c>
    </row>
    <row r="68" spans="2:31" x14ac:dyDescent="0.2">
      <c r="B68" s="313">
        <v>2014</v>
      </c>
      <c r="C68" s="314">
        <f t="shared" si="34"/>
        <v>138005</v>
      </c>
      <c r="D68" s="315">
        <v>1000000</v>
      </c>
      <c r="E68" s="315">
        <v>1000000</v>
      </c>
      <c r="F68" s="315">
        <v>1000000</v>
      </c>
      <c r="G68" s="315">
        <v>1000000</v>
      </c>
      <c r="H68" s="316">
        <v>1000000</v>
      </c>
      <c r="I68" s="317">
        <f>D68*I60</f>
        <v>0</v>
      </c>
      <c r="J68" s="318">
        <f>E68*J60</f>
        <v>0</v>
      </c>
      <c r="K68" s="318">
        <f>F68*K60</f>
        <v>0</v>
      </c>
      <c r="L68" s="318">
        <f>G68*L60</f>
        <v>0</v>
      </c>
      <c r="M68" s="319">
        <f>H68*M60</f>
        <v>0</v>
      </c>
      <c r="N68" s="372">
        <v>6.0583595281689906</v>
      </c>
      <c r="O68" s="321">
        <v>1</v>
      </c>
      <c r="P68" s="321">
        <v>1</v>
      </c>
      <c r="Q68" s="321">
        <v>1</v>
      </c>
      <c r="R68" s="321">
        <v>1</v>
      </c>
      <c r="S68" s="322">
        <v>1</v>
      </c>
      <c r="T68" s="323">
        <v>1</v>
      </c>
      <c r="U68" s="324">
        <v>1</v>
      </c>
      <c r="V68" s="324">
        <v>1</v>
      </c>
      <c r="W68" s="324">
        <v>1</v>
      </c>
      <c r="X68" s="324">
        <v>1</v>
      </c>
      <c r="Y68" s="325">
        <v>1</v>
      </c>
      <c r="Z68" s="323">
        <v>0</v>
      </c>
      <c r="AA68" s="324">
        <v>0</v>
      </c>
      <c r="AB68" s="324">
        <v>0</v>
      </c>
      <c r="AC68" s="324">
        <v>0</v>
      </c>
      <c r="AD68" s="324">
        <v>0</v>
      </c>
      <c r="AE68" s="325">
        <v>0</v>
      </c>
    </row>
    <row r="69" spans="2:31" ht="15" thickBot="1" x14ac:dyDescent="0.25">
      <c r="B69" s="326">
        <v>2015</v>
      </c>
      <c r="C69" s="327">
        <f t="shared" si="34"/>
        <v>138005</v>
      </c>
      <c r="D69" s="328">
        <v>1000000</v>
      </c>
      <c r="E69" s="328">
        <v>1000000</v>
      </c>
      <c r="F69" s="328">
        <v>1000000</v>
      </c>
      <c r="G69" s="328">
        <v>1000000</v>
      </c>
      <c r="H69" s="329">
        <v>1000000</v>
      </c>
      <c r="I69" s="330">
        <f>D69*I60</f>
        <v>0</v>
      </c>
      <c r="J69" s="331">
        <f>E69*J60</f>
        <v>0</v>
      </c>
      <c r="K69" s="331">
        <f>F69*K60</f>
        <v>0</v>
      </c>
      <c r="L69" s="331">
        <f>G69*L60</f>
        <v>0</v>
      </c>
      <c r="M69" s="332">
        <f>H69*M60</f>
        <v>0</v>
      </c>
      <c r="N69" s="374">
        <v>6.1703756815216178</v>
      </c>
      <c r="O69" s="334">
        <v>1</v>
      </c>
      <c r="P69" s="334">
        <v>1</v>
      </c>
      <c r="Q69" s="348">
        <v>1</v>
      </c>
      <c r="R69" s="348">
        <v>1</v>
      </c>
      <c r="S69" s="349">
        <v>1</v>
      </c>
      <c r="T69" s="336">
        <v>1</v>
      </c>
      <c r="U69" s="337">
        <v>1</v>
      </c>
      <c r="V69" s="337">
        <v>1</v>
      </c>
      <c r="W69" s="337">
        <v>1</v>
      </c>
      <c r="X69" s="337">
        <v>1</v>
      </c>
      <c r="Y69" s="338">
        <v>1</v>
      </c>
      <c r="Z69" s="336">
        <v>0</v>
      </c>
      <c r="AA69" s="337">
        <v>0</v>
      </c>
      <c r="AB69" s="337">
        <v>0</v>
      </c>
      <c r="AC69" s="337">
        <v>0</v>
      </c>
      <c r="AD69" s="337">
        <v>0</v>
      </c>
      <c r="AE69" s="338">
        <v>0</v>
      </c>
    </row>
    <row r="70" spans="2:31" x14ac:dyDescent="0.2">
      <c r="B70" s="300">
        <v>2016</v>
      </c>
      <c r="C70" s="339">
        <f t="shared" si="34"/>
        <v>138005</v>
      </c>
      <c r="D70" s="340">
        <v>1000000</v>
      </c>
      <c r="E70" s="340">
        <v>1000000</v>
      </c>
      <c r="F70" s="340">
        <v>1000000</v>
      </c>
      <c r="G70" s="340">
        <v>1000000</v>
      </c>
      <c r="H70" s="341">
        <v>1000000</v>
      </c>
      <c r="I70" s="304">
        <f>D70*I60</f>
        <v>0</v>
      </c>
      <c r="J70" s="305">
        <f>E70*J60</f>
        <v>0</v>
      </c>
      <c r="K70" s="305">
        <f>F70*K60</f>
        <v>0</v>
      </c>
      <c r="L70" s="305">
        <f>G70*L60</f>
        <v>0</v>
      </c>
      <c r="M70" s="306">
        <f>H70*M60</f>
        <v>0</v>
      </c>
      <c r="N70" s="375">
        <v>6.2992037959414615</v>
      </c>
      <c r="O70" s="321">
        <v>1</v>
      </c>
      <c r="P70" s="321">
        <v>1</v>
      </c>
      <c r="Q70" s="350">
        <v>1</v>
      </c>
      <c r="R70" s="350">
        <v>1</v>
      </c>
      <c r="S70" s="351">
        <v>1</v>
      </c>
      <c r="T70" s="345">
        <v>1</v>
      </c>
      <c r="U70" s="346">
        <v>1</v>
      </c>
      <c r="V70" s="346">
        <v>1</v>
      </c>
      <c r="W70" s="346">
        <v>1</v>
      </c>
      <c r="X70" s="346">
        <v>1</v>
      </c>
      <c r="Y70" s="347">
        <v>1</v>
      </c>
      <c r="Z70" s="345">
        <v>0</v>
      </c>
      <c r="AA70" s="346">
        <v>0</v>
      </c>
      <c r="AB70" s="346">
        <v>0</v>
      </c>
      <c r="AC70" s="346">
        <v>0</v>
      </c>
      <c r="AD70" s="346">
        <v>0</v>
      </c>
      <c r="AE70" s="347">
        <v>0</v>
      </c>
    </row>
    <row r="71" spans="2:31" x14ac:dyDescent="0.2">
      <c r="B71" s="313">
        <v>2017</v>
      </c>
      <c r="C71" s="314">
        <f t="shared" si="34"/>
        <v>138005</v>
      </c>
      <c r="D71" s="315">
        <v>1000000</v>
      </c>
      <c r="E71" s="315">
        <v>1000000</v>
      </c>
      <c r="F71" s="315">
        <v>1000000</v>
      </c>
      <c r="G71" s="315">
        <v>1000000</v>
      </c>
      <c r="H71" s="316">
        <v>1000000</v>
      </c>
      <c r="I71" s="317">
        <f>D71*I60</f>
        <v>0</v>
      </c>
      <c r="J71" s="318">
        <f>E71*J60</f>
        <v>0</v>
      </c>
      <c r="K71" s="318">
        <f>F71*K60</f>
        <v>0</v>
      </c>
      <c r="L71" s="318">
        <f>G71*L60</f>
        <v>0</v>
      </c>
      <c r="M71" s="319">
        <f>H71*M60</f>
        <v>0</v>
      </c>
      <c r="N71" s="372">
        <v>6.429880170141046</v>
      </c>
      <c r="O71" s="321">
        <v>1</v>
      </c>
      <c r="P71" s="321">
        <v>1</v>
      </c>
      <c r="Q71" s="350">
        <v>1</v>
      </c>
      <c r="R71" s="350">
        <v>1</v>
      </c>
      <c r="S71" s="351">
        <v>1</v>
      </c>
      <c r="T71" s="323">
        <v>1</v>
      </c>
      <c r="U71" s="324">
        <v>1</v>
      </c>
      <c r="V71" s="324">
        <v>1</v>
      </c>
      <c r="W71" s="324">
        <v>1</v>
      </c>
      <c r="X71" s="324">
        <v>1</v>
      </c>
      <c r="Y71" s="325">
        <v>1</v>
      </c>
      <c r="Z71" s="323">
        <v>0</v>
      </c>
      <c r="AA71" s="324">
        <v>0</v>
      </c>
      <c r="AB71" s="324">
        <v>0</v>
      </c>
      <c r="AC71" s="324">
        <v>0</v>
      </c>
      <c r="AD71" s="324">
        <v>0</v>
      </c>
      <c r="AE71" s="325">
        <v>0</v>
      </c>
    </row>
    <row r="72" spans="2:31" x14ac:dyDescent="0.2">
      <c r="B72" s="313">
        <v>2018</v>
      </c>
      <c r="C72" s="314">
        <f t="shared" si="34"/>
        <v>138005</v>
      </c>
      <c r="D72" s="315">
        <v>1000000</v>
      </c>
      <c r="E72" s="315">
        <v>1000000</v>
      </c>
      <c r="F72" s="315">
        <v>1000000</v>
      </c>
      <c r="G72" s="315">
        <v>1000000</v>
      </c>
      <c r="H72" s="316">
        <v>1000000</v>
      </c>
      <c r="I72" s="317">
        <f>D72*I60</f>
        <v>0</v>
      </c>
      <c r="J72" s="318">
        <f>E72*J60</f>
        <v>0</v>
      </c>
      <c r="K72" s="318">
        <f>F72*K60</f>
        <v>0</v>
      </c>
      <c r="L72" s="318">
        <f>G72*L60</f>
        <v>0</v>
      </c>
      <c r="M72" s="319">
        <f>H72*M60</f>
        <v>0</v>
      </c>
      <c r="N72" s="372">
        <v>6.3927777584473002</v>
      </c>
      <c r="O72" s="321">
        <v>1</v>
      </c>
      <c r="P72" s="321">
        <v>1</v>
      </c>
      <c r="Q72" s="350">
        <v>1</v>
      </c>
      <c r="R72" s="350">
        <v>1</v>
      </c>
      <c r="S72" s="351">
        <v>1</v>
      </c>
      <c r="T72" s="323">
        <v>1</v>
      </c>
      <c r="U72" s="324">
        <v>1</v>
      </c>
      <c r="V72" s="324">
        <v>1</v>
      </c>
      <c r="W72" s="324">
        <v>1</v>
      </c>
      <c r="X72" s="324">
        <v>1</v>
      </c>
      <c r="Y72" s="325">
        <v>1</v>
      </c>
      <c r="Z72" s="323">
        <v>0</v>
      </c>
      <c r="AA72" s="324">
        <v>0</v>
      </c>
      <c r="AB72" s="324">
        <v>0</v>
      </c>
      <c r="AC72" s="324">
        <v>0</v>
      </c>
      <c r="AD72" s="324">
        <v>0</v>
      </c>
      <c r="AE72" s="325">
        <v>0</v>
      </c>
    </row>
    <row r="73" spans="2:31" x14ac:dyDescent="0.2">
      <c r="B73" s="313">
        <v>2019</v>
      </c>
      <c r="C73" s="314">
        <f t="shared" si="34"/>
        <v>138005</v>
      </c>
      <c r="D73" s="315">
        <v>1000000</v>
      </c>
      <c r="E73" s="315">
        <v>1000000</v>
      </c>
      <c r="F73" s="315">
        <v>1000000</v>
      </c>
      <c r="G73" s="315">
        <v>1000000</v>
      </c>
      <c r="H73" s="316">
        <v>1000000</v>
      </c>
      <c r="I73" s="317">
        <f>D73*I60</f>
        <v>0</v>
      </c>
      <c r="J73" s="318">
        <f>E73*J60</f>
        <v>0</v>
      </c>
      <c r="K73" s="318">
        <f>F73*K60</f>
        <v>0</v>
      </c>
      <c r="L73" s="318">
        <f>G73*L60</f>
        <v>0</v>
      </c>
      <c r="M73" s="319">
        <f>H73*M60</f>
        <v>0</v>
      </c>
      <c r="N73" s="372">
        <v>6.4333520263174488</v>
      </c>
      <c r="O73" s="321">
        <v>1</v>
      </c>
      <c r="P73" s="321">
        <v>1</v>
      </c>
      <c r="Q73" s="350">
        <v>1</v>
      </c>
      <c r="R73" s="350">
        <v>1</v>
      </c>
      <c r="S73" s="351">
        <v>1</v>
      </c>
      <c r="T73" s="323">
        <v>1</v>
      </c>
      <c r="U73" s="324">
        <v>1</v>
      </c>
      <c r="V73" s="324">
        <v>1</v>
      </c>
      <c r="W73" s="324">
        <v>1</v>
      </c>
      <c r="X73" s="324">
        <v>1</v>
      </c>
      <c r="Y73" s="325">
        <v>1</v>
      </c>
      <c r="Z73" s="323">
        <v>0</v>
      </c>
      <c r="AA73" s="324">
        <v>0</v>
      </c>
      <c r="AB73" s="324">
        <v>0</v>
      </c>
      <c r="AC73" s="324">
        <v>0</v>
      </c>
      <c r="AD73" s="324">
        <v>0</v>
      </c>
      <c r="AE73" s="325">
        <v>0</v>
      </c>
    </row>
    <row r="74" spans="2:31" ht="15" thickBot="1" x14ac:dyDescent="0.25">
      <c r="B74" s="326">
        <v>2020</v>
      </c>
      <c r="C74" s="327">
        <f>C75</f>
        <v>138005</v>
      </c>
      <c r="D74" s="328">
        <v>1000000</v>
      </c>
      <c r="E74" s="328">
        <v>1000000</v>
      </c>
      <c r="F74" s="328">
        <v>1000000</v>
      </c>
      <c r="G74" s="328">
        <v>1000000</v>
      </c>
      <c r="H74" s="329">
        <v>1000000</v>
      </c>
      <c r="I74" s="330">
        <f>D74*I60</f>
        <v>0</v>
      </c>
      <c r="J74" s="331">
        <f>E74*J60</f>
        <v>0</v>
      </c>
      <c r="K74" s="331">
        <f>F74*K60</f>
        <v>0</v>
      </c>
      <c r="L74" s="331">
        <f>G74*L60</f>
        <v>0</v>
      </c>
      <c r="M74" s="332">
        <f>H74*M60</f>
        <v>0</v>
      </c>
      <c r="N74" s="374">
        <v>6.4864337636120455</v>
      </c>
      <c r="O74" s="334">
        <v>1</v>
      </c>
      <c r="P74" s="334">
        <v>1</v>
      </c>
      <c r="Q74" s="348">
        <v>1</v>
      </c>
      <c r="R74" s="348">
        <v>1</v>
      </c>
      <c r="S74" s="349">
        <v>1</v>
      </c>
      <c r="T74" s="336">
        <v>1</v>
      </c>
      <c r="U74" s="337">
        <v>1</v>
      </c>
      <c r="V74" s="337">
        <v>1</v>
      </c>
      <c r="W74" s="337">
        <v>1</v>
      </c>
      <c r="X74" s="337">
        <v>1</v>
      </c>
      <c r="Y74" s="338">
        <v>1</v>
      </c>
      <c r="Z74" s="336">
        <v>0</v>
      </c>
      <c r="AA74" s="337">
        <v>0</v>
      </c>
      <c r="AB74" s="337">
        <v>0</v>
      </c>
      <c r="AC74" s="337">
        <v>0</v>
      </c>
      <c r="AD74" s="337">
        <v>0</v>
      </c>
      <c r="AE74" s="338">
        <v>0</v>
      </c>
    </row>
    <row r="75" spans="2:31" x14ac:dyDescent="0.2">
      <c r="B75" s="300">
        <v>2021</v>
      </c>
      <c r="C75" s="339">
        <f>AC6</f>
        <v>138005</v>
      </c>
      <c r="D75" s="340">
        <f>AD6</f>
        <v>0</v>
      </c>
      <c r="E75" s="340">
        <f t="shared" ref="E75:H75" si="35">AE6</f>
        <v>9699</v>
      </c>
      <c r="F75" s="340">
        <f t="shared" si="35"/>
        <v>450039</v>
      </c>
      <c r="G75" s="340">
        <f t="shared" si="35"/>
        <v>131845</v>
      </c>
      <c r="H75" s="341">
        <f t="shared" si="35"/>
        <v>0</v>
      </c>
      <c r="I75" s="304">
        <f>D75*I60</f>
        <v>0</v>
      </c>
      <c r="J75" s="305">
        <f>E75*J60</f>
        <v>0</v>
      </c>
      <c r="K75" s="305">
        <f>F75*K60</f>
        <v>0</v>
      </c>
      <c r="L75" s="305">
        <f>G75*L60</f>
        <v>0</v>
      </c>
      <c r="M75" s="306">
        <f>H75*M60</f>
        <v>0</v>
      </c>
      <c r="N75" s="375">
        <f>J6</f>
        <v>6.3480818446503209</v>
      </c>
      <c r="O75" s="343">
        <f>MAX(K6,1)</f>
        <v>7.0993052255995961</v>
      </c>
      <c r="P75" s="343">
        <f t="shared" ref="P75:S75" si="36">MAX(L6,1)</f>
        <v>7.5156853593019077</v>
      </c>
      <c r="Q75" s="350">
        <f t="shared" si="36"/>
        <v>15.112887032730717</v>
      </c>
      <c r="R75" s="350">
        <f t="shared" si="36"/>
        <v>9.5878651106727446</v>
      </c>
      <c r="S75" s="351">
        <f t="shared" si="36"/>
        <v>1</v>
      </c>
      <c r="T75" s="345">
        <v>1</v>
      </c>
      <c r="U75" s="346">
        <v>1</v>
      </c>
      <c r="V75" s="346">
        <v>1</v>
      </c>
      <c r="W75" s="346">
        <v>1</v>
      </c>
      <c r="X75" s="346">
        <v>1</v>
      </c>
      <c r="Y75" s="347">
        <f>MAX(P6,1)</f>
        <v>1</v>
      </c>
      <c r="Z75" s="345">
        <v>0</v>
      </c>
      <c r="AA75" s="346">
        <v>0</v>
      </c>
      <c r="AB75" s="346">
        <v>0</v>
      </c>
      <c r="AC75" s="346">
        <f>Q6</f>
        <v>293.45075177780529</v>
      </c>
      <c r="AD75" s="346">
        <f t="shared" ref="AD75:AE90" si="37">R6</f>
        <v>0</v>
      </c>
      <c r="AE75" s="347">
        <f>S6</f>
        <v>0</v>
      </c>
    </row>
    <row r="76" spans="2:31" x14ac:dyDescent="0.2">
      <c r="B76" s="313">
        <v>2022</v>
      </c>
      <c r="C76" s="314">
        <f t="shared" ref="C76:H91" si="38">AC7</f>
        <v>138005</v>
      </c>
      <c r="D76" s="315">
        <f t="shared" si="38"/>
        <v>1176.8240328004006</v>
      </c>
      <c r="E76" s="315">
        <f t="shared" si="38"/>
        <v>10595.475952463183</v>
      </c>
      <c r="F76" s="315">
        <f t="shared" si="38"/>
        <v>429428.19187637744</v>
      </c>
      <c r="G76" s="315">
        <f t="shared" si="38"/>
        <v>126464.93446612166</v>
      </c>
      <c r="H76" s="316">
        <f t="shared" si="38"/>
        <v>0</v>
      </c>
      <c r="I76" s="317">
        <f>D76*I60</f>
        <v>0</v>
      </c>
      <c r="J76" s="318">
        <f>E76*J60</f>
        <v>0</v>
      </c>
      <c r="K76" s="318">
        <f>F76*K60</f>
        <v>0</v>
      </c>
      <c r="L76" s="318">
        <f>G76*L60</f>
        <v>0</v>
      </c>
      <c r="M76" s="319">
        <f>H76*M60</f>
        <v>0</v>
      </c>
      <c r="N76" s="372">
        <f t="shared" ref="N76:N104" si="39">J7</f>
        <v>6.4291000607445872</v>
      </c>
      <c r="O76" s="321">
        <f t="shared" ref="O76:S91" si="40">MAX(K7,1)</f>
        <v>7.2136894142449801</v>
      </c>
      <c r="P76" s="321">
        <f t="shared" si="40"/>
        <v>7.6395690498981583</v>
      </c>
      <c r="Q76" s="352">
        <f t="shared" si="40"/>
        <v>15.252687173678117</v>
      </c>
      <c r="R76" s="352">
        <f t="shared" si="40"/>
        <v>9.701955009415812</v>
      </c>
      <c r="S76" s="353">
        <f t="shared" si="40"/>
        <v>1</v>
      </c>
      <c r="T76" s="323">
        <v>1</v>
      </c>
      <c r="U76" s="324">
        <v>1</v>
      </c>
      <c r="V76" s="324">
        <v>1</v>
      </c>
      <c r="W76" s="324">
        <v>1</v>
      </c>
      <c r="X76" s="324">
        <v>1</v>
      </c>
      <c r="Y76" s="325">
        <f t="shared" ref="Y76:Y104" si="41">MAX(P7,1)</f>
        <v>1</v>
      </c>
      <c r="Z76" s="323">
        <v>0</v>
      </c>
      <c r="AA76" s="324">
        <v>0</v>
      </c>
      <c r="AB76" s="324">
        <v>0</v>
      </c>
      <c r="AC76" s="324">
        <f t="shared" ref="AC76:AE91" si="42">Q7</f>
        <v>292.03812129765282</v>
      </c>
      <c r="AD76" s="324">
        <f t="shared" si="37"/>
        <v>0</v>
      </c>
      <c r="AE76" s="325">
        <f t="shared" si="37"/>
        <v>0</v>
      </c>
    </row>
    <row r="77" spans="2:31" x14ac:dyDescent="0.2">
      <c r="B77" s="313">
        <v>2023</v>
      </c>
      <c r="C77" s="314">
        <f t="shared" si="38"/>
        <v>138005</v>
      </c>
      <c r="D77" s="315">
        <f t="shared" si="38"/>
        <v>2511.5622058902827</v>
      </c>
      <c r="E77" s="315">
        <f t="shared" si="38"/>
        <v>11612.247059832867</v>
      </c>
      <c r="F77" s="315">
        <f t="shared" si="38"/>
        <v>406051.6873063895</v>
      </c>
      <c r="G77" s="315">
        <f t="shared" si="38"/>
        <v>120362.9356611649</v>
      </c>
      <c r="H77" s="316">
        <f t="shared" si="38"/>
        <v>0</v>
      </c>
      <c r="I77" s="317">
        <f>D77*I60</f>
        <v>0</v>
      </c>
      <c r="J77" s="318">
        <f>E77*J60</f>
        <v>0</v>
      </c>
      <c r="K77" s="318">
        <f>F77*K60</f>
        <v>0</v>
      </c>
      <c r="L77" s="318">
        <f>G77*L60</f>
        <v>0</v>
      </c>
      <c r="M77" s="319">
        <f>H77*M60</f>
        <v>0</v>
      </c>
      <c r="N77" s="372">
        <f t="shared" si="39"/>
        <v>6.5254599640226782</v>
      </c>
      <c r="O77" s="321">
        <f t="shared" si="40"/>
        <v>7.3434224403624055</v>
      </c>
      <c r="P77" s="321">
        <f t="shared" si="40"/>
        <v>7.7800762848401535</v>
      </c>
      <c r="Q77" s="352">
        <f t="shared" si="40"/>
        <v>15.411246635012207</v>
      </c>
      <c r="R77" s="352">
        <f t="shared" si="40"/>
        <v>9.8313542558383702</v>
      </c>
      <c r="S77" s="353">
        <f t="shared" si="40"/>
        <v>1</v>
      </c>
      <c r="T77" s="323">
        <v>1</v>
      </c>
      <c r="U77" s="324">
        <v>1</v>
      </c>
      <c r="V77" s="324">
        <v>1</v>
      </c>
      <c r="W77" s="324">
        <v>1</v>
      </c>
      <c r="X77" s="324">
        <v>1</v>
      </c>
      <c r="Y77" s="325">
        <f t="shared" si="41"/>
        <v>1</v>
      </c>
      <c r="Z77" s="323">
        <v>0</v>
      </c>
      <c r="AA77" s="324">
        <v>0</v>
      </c>
      <c r="AB77" s="324">
        <v>0</v>
      </c>
      <c r="AC77" s="324">
        <f t="shared" si="42"/>
        <v>290.62549081750035</v>
      </c>
      <c r="AD77" s="324">
        <f t="shared" si="37"/>
        <v>0</v>
      </c>
      <c r="AE77" s="325">
        <f t="shared" si="37"/>
        <v>0</v>
      </c>
    </row>
    <row r="78" spans="2:31" x14ac:dyDescent="0.2">
      <c r="B78" s="313">
        <v>2024</v>
      </c>
      <c r="C78" s="314">
        <f t="shared" si="38"/>
        <v>138005</v>
      </c>
      <c r="D78" s="315">
        <f t="shared" si="38"/>
        <v>4624.9431381397308</v>
      </c>
      <c r="E78" s="315">
        <f t="shared" si="38"/>
        <v>13222.169300838961</v>
      </c>
      <c r="F78" s="315">
        <f t="shared" si="38"/>
        <v>369038.09166876168</v>
      </c>
      <c r="G78" s="315">
        <f t="shared" si="38"/>
        <v>110701.22958052511</v>
      </c>
      <c r="H78" s="316">
        <f t="shared" si="38"/>
        <v>0</v>
      </c>
      <c r="I78" s="317">
        <f>D78*I60</f>
        <v>0</v>
      </c>
      <c r="J78" s="318">
        <f>E78*J60</f>
        <v>0</v>
      </c>
      <c r="K78" s="318">
        <f>F78*K60</f>
        <v>0</v>
      </c>
      <c r="L78" s="318">
        <f>G78*L60</f>
        <v>0</v>
      </c>
      <c r="M78" s="319">
        <f>H78*M60</f>
        <v>0</v>
      </c>
      <c r="N78" s="372">
        <f t="shared" si="39"/>
        <v>6.6581303524586453</v>
      </c>
      <c r="O78" s="321">
        <f t="shared" si="40"/>
        <v>7.5488374867043246</v>
      </c>
      <c r="P78" s="321">
        <f t="shared" si="40"/>
        <v>8.002550862368782</v>
      </c>
      <c r="Q78" s="352">
        <f t="shared" si="40"/>
        <v>15.662304519597519</v>
      </c>
      <c r="R78" s="352">
        <f t="shared" si="40"/>
        <v>10.036240806287292</v>
      </c>
      <c r="S78" s="353">
        <f t="shared" si="40"/>
        <v>1</v>
      </c>
      <c r="T78" s="323">
        <v>1</v>
      </c>
      <c r="U78" s="324">
        <v>1</v>
      </c>
      <c r="V78" s="324">
        <v>1</v>
      </c>
      <c r="W78" s="324">
        <v>1</v>
      </c>
      <c r="X78" s="324">
        <v>1</v>
      </c>
      <c r="Y78" s="325">
        <f t="shared" si="41"/>
        <v>1</v>
      </c>
      <c r="Z78" s="323">
        <v>0</v>
      </c>
      <c r="AA78" s="324">
        <v>0</v>
      </c>
      <c r="AB78" s="324">
        <v>0</v>
      </c>
      <c r="AC78" s="324">
        <f t="shared" si="42"/>
        <v>289.21286033734788</v>
      </c>
      <c r="AD78" s="324">
        <f t="shared" si="37"/>
        <v>0</v>
      </c>
      <c r="AE78" s="325">
        <f t="shared" si="37"/>
        <v>0</v>
      </c>
    </row>
    <row r="79" spans="2:31" ht="15" thickBot="1" x14ac:dyDescent="0.25">
      <c r="B79" s="326">
        <v>2025</v>
      </c>
      <c r="C79" s="327">
        <f t="shared" si="38"/>
        <v>138005</v>
      </c>
      <c r="D79" s="328">
        <f t="shared" si="38"/>
        <v>6997.0616326849868</v>
      </c>
      <c r="E79" s="328">
        <f t="shared" si="38"/>
        <v>15029.191529721053</v>
      </c>
      <c r="F79" s="328">
        <f t="shared" si="38"/>
        <v>327492.98570994998</v>
      </c>
      <c r="G79" s="328">
        <f t="shared" si="38"/>
        <v>99856.657580742802</v>
      </c>
      <c r="H79" s="329">
        <f t="shared" si="38"/>
        <v>0</v>
      </c>
      <c r="I79" s="330">
        <f>D79*I60</f>
        <v>0</v>
      </c>
      <c r="J79" s="331">
        <f>E79*J60</f>
        <v>0</v>
      </c>
      <c r="K79" s="331">
        <f>F79*K60</f>
        <v>0</v>
      </c>
      <c r="L79" s="331">
        <f>G79*L60</f>
        <v>0</v>
      </c>
      <c r="M79" s="332">
        <f>H79*M60</f>
        <v>0</v>
      </c>
      <c r="N79" s="374">
        <f t="shared" si="39"/>
        <v>6.8086034138932883</v>
      </c>
      <c r="O79" s="334">
        <f t="shared" si="40"/>
        <v>7.7794011409182842</v>
      </c>
      <c r="P79" s="334">
        <f t="shared" si="40"/>
        <v>8.2522626165862718</v>
      </c>
      <c r="Q79" s="348">
        <f t="shared" si="40"/>
        <v>15.944098985582571</v>
      </c>
      <c r="R79" s="348">
        <f t="shared" si="40"/>
        <v>10.266211261772648</v>
      </c>
      <c r="S79" s="349">
        <f t="shared" si="40"/>
        <v>1</v>
      </c>
      <c r="T79" s="336">
        <v>1</v>
      </c>
      <c r="U79" s="337">
        <v>1</v>
      </c>
      <c r="V79" s="337">
        <v>1</v>
      </c>
      <c r="W79" s="337">
        <v>1</v>
      </c>
      <c r="X79" s="337">
        <v>1</v>
      </c>
      <c r="Y79" s="338">
        <f t="shared" si="41"/>
        <v>1</v>
      </c>
      <c r="Z79" s="336">
        <v>0</v>
      </c>
      <c r="AA79" s="337">
        <v>0</v>
      </c>
      <c r="AB79" s="337">
        <v>0</v>
      </c>
      <c r="AC79" s="337">
        <f t="shared" si="42"/>
        <v>287.8002298571954</v>
      </c>
      <c r="AD79" s="337">
        <f t="shared" si="37"/>
        <v>0</v>
      </c>
      <c r="AE79" s="338">
        <f t="shared" si="37"/>
        <v>0</v>
      </c>
    </row>
    <row r="80" spans="2:31" x14ac:dyDescent="0.2">
      <c r="B80" s="300">
        <v>2026</v>
      </c>
      <c r="C80" s="339">
        <f t="shared" si="38"/>
        <v>138005</v>
      </c>
      <c r="D80" s="340">
        <f t="shared" si="38"/>
        <v>8819.5419510440479</v>
      </c>
      <c r="E80" s="340">
        <f t="shared" si="38"/>
        <v>16417.512751678489</v>
      </c>
      <c r="F80" s="340">
        <f t="shared" si="38"/>
        <v>295574.20167442027</v>
      </c>
      <c r="G80" s="340">
        <f t="shared" si="38"/>
        <v>91524.856671100715</v>
      </c>
      <c r="H80" s="341">
        <f t="shared" si="38"/>
        <v>0</v>
      </c>
      <c r="I80" s="304">
        <f>D80*I60</f>
        <v>0</v>
      </c>
      <c r="J80" s="305">
        <f>E80*J60</f>
        <v>0</v>
      </c>
      <c r="K80" s="305">
        <f>F80*K60</f>
        <v>0</v>
      </c>
      <c r="L80" s="305">
        <f>G80*L60</f>
        <v>0</v>
      </c>
      <c r="M80" s="306">
        <f>H80*M60</f>
        <v>0</v>
      </c>
      <c r="N80" s="375">
        <f t="shared" si="39"/>
        <v>6.9782165360518356</v>
      </c>
      <c r="O80" s="343">
        <f t="shared" si="40"/>
        <v>7.9565414156980392</v>
      </c>
      <c r="P80" s="343">
        <f t="shared" si="40"/>
        <v>8.4441142287088482</v>
      </c>
      <c r="Q80" s="350">
        <f t="shared" si="40"/>
        <v>16.160599497366114</v>
      </c>
      <c r="R80" s="350">
        <f t="shared" si="40"/>
        <v>10.442895786550773</v>
      </c>
      <c r="S80" s="351">
        <f t="shared" si="40"/>
        <v>1</v>
      </c>
      <c r="T80" s="345">
        <v>1</v>
      </c>
      <c r="U80" s="346">
        <v>1</v>
      </c>
      <c r="V80" s="346">
        <v>1</v>
      </c>
      <c r="W80" s="346">
        <v>1</v>
      </c>
      <c r="X80" s="346">
        <v>1</v>
      </c>
      <c r="Y80" s="347">
        <f t="shared" si="41"/>
        <v>1</v>
      </c>
      <c r="Z80" s="345">
        <v>0</v>
      </c>
      <c r="AA80" s="346">
        <v>0</v>
      </c>
      <c r="AB80" s="346">
        <v>0</v>
      </c>
      <c r="AC80" s="346">
        <f t="shared" si="42"/>
        <v>286.38759937704293</v>
      </c>
      <c r="AD80" s="346">
        <f t="shared" si="37"/>
        <v>0</v>
      </c>
      <c r="AE80" s="347">
        <f t="shared" si="37"/>
        <v>0</v>
      </c>
    </row>
    <row r="81" spans="2:31" x14ac:dyDescent="0.2">
      <c r="B81" s="313">
        <v>2027</v>
      </c>
      <c r="C81" s="314">
        <f t="shared" si="38"/>
        <v>138005</v>
      </c>
      <c r="D81" s="315">
        <f t="shared" si="38"/>
        <v>10700</v>
      </c>
      <c r="E81" s="315">
        <f t="shared" si="38"/>
        <v>17850</v>
      </c>
      <c r="F81" s="315">
        <f t="shared" si="38"/>
        <v>262640</v>
      </c>
      <c r="G81" s="315">
        <f t="shared" si="38"/>
        <v>82928</v>
      </c>
      <c r="H81" s="316">
        <f t="shared" si="38"/>
        <v>0</v>
      </c>
      <c r="I81" s="317">
        <f>D81*I60</f>
        <v>0</v>
      </c>
      <c r="J81" s="318">
        <f>E81*J60</f>
        <v>0</v>
      </c>
      <c r="K81" s="318">
        <f>F81*K60</f>
        <v>0</v>
      </c>
      <c r="L81" s="318">
        <f>G81*L60</f>
        <v>0</v>
      </c>
      <c r="M81" s="319">
        <f>H81*M60</f>
        <v>0</v>
      </c>
      <c r="N81" s="372">
        <f t="shared" si="39"/>
        <v>7.1454647701784486</v>
      </c>
      <c r="O81" s="321">
        <f t="shared" si="40"/>
        <v>8.1393169728046217</v>
      </c>
      <c r="P81" s="321">
        <f t="shared" si="40"/>
        <v>8.6420691281866731</v>
      </c>
      <c r="Q81" s="352">
        <f t="shared" si="40"/>
        <v>16.383987440646081</v>
      </c>
      <c r="R81" s="352">
        <f t="shared" si="40"/>
        <v>10.625201095089924</v>
      </c>
      <c r="S81" s="353">
        <f t="shared" si="40"/>
        <v>1</v>
      </c>
      <c r="T81" s="323">
        <v>1</v>
      </c>
      <c r="U81" s="324">
        <v>1</v>
      </c>
      <c r="V81" s="324">
        <v>1</v>
      </c>
      <c r="W81" s="324">
        <v>1</v>
      </c>
      <c r="X81" s="324">
        <v>1</v>
      </c>
      <c r="Y81" s="325">
        <f t="shared" si="41"/>
        <v>1</v>
      </c>
      <c r="Z81" s="323">
        <v>0</v>
      </c>
      <c r="AA81" s="324">
        <v>0</v>
      </c>
      <c r="AB81" s="324">
        <v>0</v>
      </c>
      <c r="AC81" s="324">
        <f t="shared" si="42"/>
        <v>284.97496889689052</v>
      </c>
      <c r="AD81" s="324">
        <f t="shared" si="37"/>
        <v>0</v>
      </c>
      <c r="AE81" s="325">
        <f t="shared" si="37"/>
        <v>0</v>
      </c>
    </row>
    <row r="82" spans="2:31" x14ac:dyDescent="0.2">
      <c r="B82" s="313">
        <v>2028</v>
      </c>
      <c r="C82" s="314">
        <f t="shared" si="38"/>
        <v>138718.45332461005</v>
      </c>
      <c r="D82" s="315">
        <f t="shared" si="38"/>
        <v>10903.606584415184</v>
      </c>
      <c r="E82" s="315">
        <f t="shared" si="38"/>
        <v>17897.396942601565</v>
      </c>
      <c r="F82" s="315">
        <f t="shared" si="38"/>
        <v>237377.83013090739</v>
      </c>
      <c r="G82" s="315">
        <f t="shared" si="38"/>
        <v>79682.37753190755</v>
      </c>
      <c r="H82" s="316">
        <f t="shared" si="38"/>
        <v>0</v>
      </c>
      <c r="I82" s="317">
        <f>D82*I60</f>
        <v>0</v>
      </c>
      <c r="J82" s="318">
        <f>E82*J60</f>
        <v>0</v>
      </c>
      <c r="K82" s="318">
        <f>F82*K60</f>
        <v>0</v>
      </c>
      <c r="L82" s="318">
        <f>G82*L60</f>
        <v>0</v>
      </c>
      <c r="M82" s="319">
        <f>H82*M60</f>
        <v>0</v>
      </c>
      <c r="N82" s="372">
        <f t="shared" si="39"/>
        <v>7.2213425095119215</v>
      </c>
      <c r="O82" s="321">
        <f t="shared" si="40"/>
        <v>8.47415891925362</v>
      </c>
      <c r="P82" s="321">
        <f t="shared" si="40"/>
        <v>9.0208301307657983</v>
      </c>
      <c r="Q82" s="352">
        <f t="shared" si="40"/>
        <v>16.904814257866995</v>
      </c>
      <c r="R82" s="352">
        <f t="shared" si="40"/>
        <v>10.945255294353959</v>
      </c>
      <c r="S82" s="353">
        <f t="shared" si="40"/>
        <v>1</v>
      </c>
      <c r="T82" s="323">
        <v>1</v>
      </c>
      <c r="U82" s="324">
        <v>1</v>
      </c>
      <c r="V82" s="324">
        <v>1</v>
      </c>
      <c r="W82" s="324">
        <v>1</v>
      </c>
      <c r="X82" s="324">
        <v>1</v>
      </c>
      <c r="Y82" s="325">
        <f t="shared" si="41"/>
        <v>1</v>
      </c>
      <c r="Z82" s="323">
        <v>0</v>
      </c>
      <c r="AA82" s="324">
        <v>0</v>
      </c>
      <c r="AB82" s="324">
        <v>0</v>
      </c>
      <c r="AC82" s="324">
        <f t="shared" si="42"/>
        <v>286.58561980123517</v>
      </c>
      <c r="AD82" s="324">
        <f t="shared" si="37"/>
        <v>0</v>
      </c>
      <c r="AE82" s="325">
        <f t="shared" si="37"/>
        <v>0</v>
      </c>
    </row>
    <row r="83" spans="2:31" x14ac:dyDescent="0.2">
      <c r="B83" s="313">
        <v>2029</v>
      </c>
      <c r="C83" s="314">
        <f t="shared" si="38"/>
        <v>139224.49553988935</v>
      </c>
      <c r="D83" s="315">
        <f t="shared" si="38"/>
        <v>11056.679072928076</v>
      </c>
      <c r="E83" s="315">
        <f t="shared" si="38"/>
        <v>17933.030210419322</v>
      </c>
      <c r="F83" s="315">
        <f t="shared" si="38"/>
        <v>218385.59951025047</v>
      </c>
      <c r="G83" s="315">
        <f t="shared" si="38"/>
        <v>77242.301689609696</v>
      </c>
      <c r="H83" s="316">
        <f t="shared" si="38"/>
        <v>0</v>
      </c>
      <c r="I83" s="317">
        <f>D83*I60</f>
        <v>0</v>
      </c>
      <c r="J83" s="318">
        <f>E83*J60</f>
        <v>0</v>
      </c>
      <c r="K83" s="318">
        <f>F83*K60</f>
        <v>0</v>
      </c>
      <c r="L83" s="318">
        <f>G83*L60</f>
        <v>0</v>
      </c>
      <c r="M83" s="319">
        <f>H83*M60</f>
        <v>0</v>
      </c>
      <c r="N83" s="372">
        <f t="shared" si="39"/>
        <v>7.2751615022591807</v>
      </c>
      <c r="O83" s="321">
        <f t="shared" si="40"/>
        <v>8.7258948351065779</v>
      </c>
      <c r="P83" s="321">
        <f t="shared" si="40"/>
        <v>9.3055846213091851</v>
      </c>
      <c r="Q83" s="352">
        <f t="shared" si="40"/>
        <v>17.296374566317951</v>
      </c>
      <c r="R83" s="352">
        <f t="shared" si="40"/>
        <v>11.185873705006369</v>
      </c>
      <c r="S83" s="353">
        <f t="shared" si="40"/>
        <v>1</v>
      </c>
      <c r="T83" s="323">
        <v>1</v>
      </c>
      <c r="U83" s="324">
        <v>1</v>
      </c>
      <c r="V83" s="324">
        <v>1</v>
      </c>
      <c r="W83" s="324">
        <v>1</v>
      </c>
      <c r="X83" s="324">
        <v>1</v>
      </c>
      <c r="Y83" s="325">
        <f t="shared" si="41"/>
        <v>1</v>
      </c>
      <c r="Z83" s="323">
        <v>0</v>
      </c>
      <c r="AA83" s="324">
        <v>0</v>
      </c>
      <c r="AB83" s="324">
        <v>0</v>
      </c>
      <c r="AC83" s="324">
        <f t="shared" si="42"/>
        <v>288.19627070557982</v>
      </c>
      <c r="AD83" s="324">
        <f t="shared" si="37"/>
        <v>0</v>
      </c>
      <c r="AE83" s="325">
        <f t="shared" si="37"/>
        <v>0</v>
      </c>
    </row>
    <row r="84" spans="2:31" ht="15" thickBot="1" x14ac:dyDescent="0.25">
      <c r="B84" s="326">
        <v>2030</v>
      </c>
      <c r="C84" s="327">
        <f t="shared" si="38"/>
        <v>139523.14024300172</v>
      </c>
      <c r="D84" s="328">
        <f t="shared" si="38"/>
        <v>11247.358954172012</v>
      </c>
      <c r="E84" s="328">
        <f t="shared" si="38"/>
        <v>17977.417986053151</v>
      </c>
      <c r="F84" s="328">
        <f t="shared" si="38"/>
        <v>194727.29020537995</v>
      </c>
      <c r="G84" s="328">
        <f t="shared" si="38"/>
        <v>74202.739346593662</v>
      </c>
      <c r="H84" s="329">
        <f t="shared" si="38"/>
        <v>0</v>
      </c>
      <c r="I84" s="330">
        <f>D84*I60</f>
        <v>0</v>
      </c>
      <c r="J84" s="331">
        <f>E84*J60</f>
        <v>0</v>
      </c>
      <c r="K84" s="331">
        <f>F84*K60</f>
        <v>0</v>
      </c>
      <c r="L84" s="331">
        <f>G84*L60</f>
        <v>0</v>
      </c>
      <c r="M84" s="332">
        <f>H84*M60</f>
        <v>0</v>
      </c>
      <c r="N84" s="374">
        <f t="shared" si="39"/>
        <v>7.306923194516302</v>
      </c>
      <c r="O84" s="334">
        <f t="shared" si="40"/>
        <v>9.0394781249975775</v>
      </c>
      <c r="P84" s="334">
        <f t="shared" si="40"/>
        <v>9.6602986066111036</v>
      </c>
      <c r="Q84" s="348">
        <f t="shared" si="40"/>
        <v>17.784134802272941</v>
      </c>
      <c r="R84" s="348">
        <f t="shared" si="40"/>
        <v>11.485608101526882</v>
      </c>
      <c r="S84" s="349">
        <f t="shared" si="40"/>
        <v>1</v>
      </c>
      <c r="T84" s="336">
        <v>1</v>
      </c>
      <c r="U84" s="337">
        <v>1</v>
      </c>
      <c r="V84" s="337">
        <v>1</v>
      </c>
      <c r="W84" s="337">
        <v>1</v>
      </c>
      <c r="X84" s="337">
        <v>1</v>
      </c>
      <c r="Y84" s="338">
        <f t="shared" si="41"/>
        <v>1</v>
      </c>
      <c r="Z84" s="336">
        <v>0</v>
      </c>
      <c r="AA84" s="337">
        <v>0</v>
      </c>
      <c r="AB84" s="337">
        <v>0</v>
      </c>
      <c r="AC84" s="337">
        <f t="shared" si="42"/>
        <v>289.80692160992447</v>
      </c>
      <c r="AD84" s="337">
        <f t="shared" si="37"/>
        <v>0</v>
      </c>
      <c r="AE84" s="338">
        <f t="shared" si="37"/>
        <v>0</v>
      </c>
    </row>
    <row r="85" spans="2:31" x14ac:dyDescent="0.2">
      <c r="B85" s="300">
        <v>2031</v>
      </c>
      <c r="C85" s="339">
        <f t="shared" si="38"/>
        <v>139576.09988215286</v>
      </c>
      <c r="D85" s="340">
        <f t="shared" si="38"/>
        <v>11427.596445520081</v>
      </c>
      <c r="E85" s="340">
        <f t="shared" si="38"/>
        <v>18019.374910268605</v>
      </c>
      <c r="F85" s="340">
        <f t="shared" si="38"/>
        <v>172364.60416410037</v>
      </c>
      <c r="G85" s="340">
        <f t="shared" si="38"/>
        <v>71329.635545986472</v>
      </c>
      <c r="H85" s="341">
        <f t="shared" si="38"/>
        <v>0</v>
      </c>
      <c r="I85" s="304">
        <f>D85*I60</f>
        <v>0</v>
      </c>
      <c r="J85" s="305">
        <f>E85*J60</f>
        <v>0</v>
      </c>
      <c r="K85" s="305">
        <f>F85*K60</f>
        <v>0</v>
      </c>
      <c r="L85" s="305">
        <f>G85*L60</f>
        <v>0</v>
      </c>
      <c r="M85" s="306">
        <f>H85*M60</f>
        <v>0</v>
      </c>
      <c r="N85" s="375">
        <f t="shared" si="39"/>
        <v>7.3125555989863509</v>
      </c>
      <c r="O85" s="343">
        <f t="shared" si="40"/>
        <v>9.3358883447329433</v>
      </c>
      <c r="P85" s="343">
        <f t="shared" si="40"/>
        <v>9.9955870410270293</v>
      </c>
      <c r="Q85" s="350">
        <f t="shared" si="40"/>
        <v>18.245183344648552</v>
      </c>
      <c r="R85" s="350">
        <f t="shared" si="40"/>
        <v>11.768927848461662</v>
      </c>
      <c r="S85" s="351">
        <f t="shared" si="40"/>
        <v>1</v>
      </c>
      <c r="T85" s="345">
        <v>1</v>
      </c>
      <c r="U85" s="346">
        <v>1</v>
      </c>
      <c r="V85" s="346">
        <v>1</v>
      </c>
      <c r="W85" s="346">
        <v>1</v>
      </c>
      <c r="X85" s="346">
        <v>1</v>
      </c>
      <c r="Y85" s="347">
        <f t="shared" si="41"/>
        <v>1</v>
      </c>
      <c r="Z85" s="345">
        <v>0</v>
      </c>
      <c r="AA85" s="346">
        <v>0</v>
      </c>
      <c r="AB85" s="346">
        <v>0</v>
      </c>
      <c r="AC85" s="346">
        <f t="shared" si="42"/>
        <v>291.41757251426912</v>
      </c>
      <c r="AD85" s="346">
        <f t="shared" si="37"/>
        <v>0</v>
      </c>
      <c r="AE85" s="347">
        <f t="shared" si="37"/>
        <v>0</v>
      </c>
    </row>
    <row r="86" spans="2:31" x14ac:dyDescent="0.2">
      <c r="B86" s="313">
        <v>2032</v>
      </c>
      <c r="C86" s="314">
        <f t="shared" si="38"/>
        <v>139629.10034424686</v>
      </c>
      <c r="D86" s="340">
        <f t="shared" si="38"/>
        <v>11558.602859557734</v>
      </c>
      <c r="E86" s="340">
        <f t="shared" si="38"/>
        <v>18049.871485339663</v>
      </c>
      <c r="F86" s="340">
        <f t="shared" si="38"/>
        <v>156110.18736876105</v>
      </c>
      <c r="G86" s="340">
        <f t="shared" si="38"/>
        <v>69241.307400381003</v>
      </c>
      <c r="H86" s="341">
        <f t="shared" si="38"/>
        <v>0</v>
      </c>
      <c r="I86" s="317">
        <f>D86*I60</f>
        <v>0</v>
      </c>
      <c r="J86" s="318">
        <f>E86*J60</f>
        <v>0</v>
      </c>
      <c r="K86" s="318">
        <f>F86*K60</f>
        <v>0</v>
      </c>
      <c r="L86" s="318">
        <f>G86*L60</f>
        <v>0</v>
      </c>
      <c r="M86" s="319">
        <f>H86*M60</f>
        <v>0</v>
      </c>
      <c r="N86" s="375">
        <f t="shared" si="39"/>
        <v>7.3181923450895683</v>
      </c>
      <c r="O86" s="321">
        <f t="shared" si="40"/>
        <v>9.5513354178208179</v>
      </c>
      <c r="P86" s="321">
        <f t="shared" si="40"/>
        <v>10.239292915607265</v>
      </c>
      <c r="Q86" s="352">
        <f t="shared" si="40"/>
        <v>18.580298507327285</v>
      </c>
      <c r="R86" s="352">
        <f t="shared" si="40"/>
        <v>11.974860053766838</v>
      </c>
      <c r="S86" s="353">
        <f t="shared" si="40"/>
        <v>1</v>
      </c>
      <c r="T86" s="345">
        <v>1</v>
      </c>
      <c r="U86" s="346">
        <v>1</v>
      </c>
      <c r="V86" s="346">
        <v>1</v>
      </c>
      <c r="W86" s="346">
        <v>1</v>
      </c>
      <c r="X86" s="346">
        <v>1</v>
      </c>
      <c r="Y86" s="347">
        <f t="shared" si="41"/>
        <v>1</v>
      </c>
      <c r="Z86" s="345">
        <v>0</v>
      </c>
      <c r="AA86" s="346">
        <v>0</v>
      </c>
      <c r="AB86" s="346">
        <v>0</v>
      </c>
      <c r="AC86" s="346">
        <f t="shared" si="42"/>
        <v>293.02822341861378</v>
      </c>
      <c r="AD86" s="346">
        <f t="shared" si="37"/>
        <v>0</v>
      </c>
      <c r="AE86" s="347">
        <f t="shared" si="37"/>
        <v>0</v>
      </c>
    </row>
    <row r="87" spans="2:31" x14ac:dyDescent="0.2">
      <c r="B87" s="313">
        <v>2033</v>
      </c>
      <c r="C87" s="314">
        <f t="shared" si="38"/>
        <v>139682.1416607514</v>
      </c>
      <c r="D87" s="340">
        <f t="shared" si="38"/>
        <v>11636.757837984853</v>
      </c>
      <c r="E87" s="340">
        <f t="shared" si="38"/>
        <v>18068.064939334174</v>
      </c>
      <c r="F87" s="340">
        <f t="shared" si="38"/>
        <v>146413.23013718586</v>
      </c>
      <c r="G87" s="340">
        <f t="shared" si="38"/>
        <v>67995.465795086551</v>
      </c>
      <c r="H87" s="341">
        <f t="shared" si="38"/>
        <v>0</v>
      </c>
      <c r="I87" s="317">
        <f>D87*I60</f>
        <v>0</v>
      </c>
      <c r="J87" s="318">
        <f>E87*J60</f>
        <v>0</v>
      </c>
      <c r="K87" s="318">
        <f>F87*K60</f>
        <v>0</v>
      </c>
      <c r="L87" s="318">
        <f>G87*L60</f>
        <v>0</v>
      </c>
      <c r="M87" s="319">
        <f>H87*M60</f>
        <v>0</v>
      </c>
      <c r="N87" s="375">
        <f t="shared" si="39"/>
        <v>7.3238334361726238</v>
      </c>
      <c r="O87" s="321">
        <f t="shared" si="40"/>
        <v>9.6798654708953897</v>
      </c>
      <c r="P87" s="321">
        <f t="shared" si="40"/>
        <v>10.384681425859187</v>
      </c>
      <c r="Q87" s="352">
        <f t="shared" si="40"/>
        <v>18.78021939289728</v>
      </c>
      <c r="R87" s="352">
        <f t="shared" si="40"/>
        <v>12.097713787160755</v>
      </c>
      <c r="S87" s="353">
        <f t="shared" si="40"/>
        <v>1</v>
      </c>
      <c r="T87" s="345">
        <v>1</v>
      </c>
      <c r="U87" s="346">
        <v>1</v>
      </c>
      <c r="V87" s="346">
        <v>1</v>
      </c>
      <c r="W87" s="346">
        <v>1</v>
      </c>
      <c r="X87" s="346">
        <v>1</v>
      </c>
      <c r="Y87" s="347">
        <f t="shared" si="41"/>
        <v>1</v>
      </c>
      <c r="Z87" s="345">
        <v>0</v>
      </c>
      <c r="AA87" s="346">
        <v>0</v>
      </c>
      <c r="AB87" s="346">
        <v>0</v>
      </c>
      <c r="AC87" s="346">
        <f t="shared" si="42"/>
        <v>294.63887432295843</v>
      </c>
      <c r="AD87" s="346">
        <f t="shared" si="37"/>
        <v>0</v>
      </c>
      <c r="AE87" s="347">
        <f t="shared" si="37"/>
        <v>0</v>
      </c>
    </row>
    <row r="88" spans="2:31" x14ac:dyDescent="0.2">
      <c r="B88" s="313">
        <v>2034</v>
      </c>
      <c r="C88" s="314">
        <f t="shared" si="38"/>
        <v>139735.22386315826</v>
      </c>
      <c r="D88" s="340">
        <f t="shared" si="38"/>
        <v>11678.008831726847</v>
      </c>
      <c r="E88" s="340">
        <f t="shared" si="38"/>
        <v>18077.667629680669</v>
      </c>
      <c r="F88" s="340">
        <f t="shared" si="38"/>
        <v>141295.07733199868</v>
      </c>
      <c r="G88" s="340">
        <f t="shared" si="38"/>
        <v>67337.897905007194</v>
      </c>
      <c r="H88" s="341">
        <f t="shared" si="38"/>
        <v>0</v>
      </c>
      <c r="I88" s="317">
        <f>D88*I60</f>
        <v>0</v>
      </c>
      <c r="J88" s="318">
        <f>E88*J60</f>
        <v>0</v>
      </c>
      <c r="K88" s="318">
        <f>F88*K60</f>
        <v>0</v>
      </c>
      <c r="L88" s="318">
        <f>G88*L60</f>
        <v>0</v>
      </c>
      <c r="M88" s="319">
        <f>H88*M60</f>
        <v>0</v>
      </c>
      <c r="N88" s="375">
        <f t="shared" si="39"/>
        <v>7.3294788755847629</v>
      </c>
      <c r="O88" s="321">
        <f t="shared" si="40"/>
        <v>9.7477049421836028</v>
      </c>
      <c r="P88" s="321">
        <f t="shared" si="40"/>
        <v>10.461418962574813</v>
      </c>
      <c r="Q88" s="352">
        <f t="shared" si="40"/>
        <v>18.885739672801552</v>
      </c>
      <c r="R88" s="352">
        <f t="shared" si="40"/>
        <v>12.162557239099508</v>
      </c>
      <c r="S88" s="353">
        <f t="shared" si="40"/>
        <v>1</v>
      </c>
      <c r="T88" s="345">
        <v>1</v>
      </c>
      <c r="U88" s="346">
        <v>1</v>
      </c>
      <c r="V88" s="346">
        <v>1</v>
      </c>
      <c r="W88" s="346">
        <v>1</v>
      </c>
      <c r="X88" s="346">
        <v>1</v>
      </c>
      <c r="Y88" s="347">
        <f t="shared" si="41"/>
        <v>1</v>
      </c>
      <c r="Z88" s="345">
        <v>0</v>
      </c>
      <c r="AA88" s="346">
        <v>0</v>
      </c>
      <c r="AB88" s="346">
        <v>0</v>
      </c>
      <c r="AC88" s="346">
        <f t="shared" si="42"/>
        <v>296.24952522730308</v>
      </c>
      <c r="AD88" s="346">
        <f t="shared" si="37"/>
        <v>0</v>
      </c>
      <c r="AE88" s="347">
        <f t="shared" si="37"/>
        <v>0</v>
      </c>
    </row>
    <row r="89" spans="2:31" ht="15" thickBot="1" x14ac:dyDescent="0.25">
      <c r="B89" s="354">
        <v>2035</v>
      </c>
      <c r="C89" s="355">
        <f t="shared" si="38"/>
        <v>139788.33333333334</v>
      </c>
      <c r="D89" s="356">
        <f t="shared" si="38"/>
        <v>11716.666666666657</v>
      </c>
      <c r="E89" s="356">
        <f t="shared" si="38"/>
        <v>18086.666666666657</v>
      </c>
      <c r="F89" s="356">
        <f t="shared" si="38"/>
        <v>136498.66666666666</v>
      </c>
      <c r="G89" s="356">
        <f t="shared" si="38"/>
        <v>66721.666666666657</v>
      </c>
      <c r="H89" s="357">
        <f t="shared" si="38"/>
        <v>0</v>
      </c>
      <c r="I89" s="358">
        <f>D89*I60</f>
        <v>0</v>
      </c>
      <c r="J89" s="359">
        <f>E89*J60</f>
        <v>0</v>
      </c>
      <c r="K89" s="359">
        <f>F89*K60</f>
        <v>0</v>
      </c>
      <c r="L89" s="359">
        <f>G89*L60</f>
        <v>0</v>
      </c>
      <c r="M89" s="360">
        <f>H89*M60</f>
        <v>0</v>
      </c>
      <c r="N89" s="376">
        <f t="shared" si="39"/>
        <v>7.3351272149996589</v>
      </c>
      <c r="O89" s="334">
        <f t="shared" si="40"/>
        <v>9.8112798247637976</v>
      </c>
      <c r="P89" s="334">
        <f t="shared" si="40"/>
        <v>10.533332552016905</v>
      </c>
      <c r="Q89" s="348">
        <f t="shared" si="40"/>
        <v>18.984626637533971</v>
      </c>
      <c r="R89" s="348">
        <f t="shared" si="40"/>
        <v>12.223324440919034</v>
      </c>
      <c r="S89" s="349">
        <f t="shared" si="40"/>
        <v>1</v>
      </c>
      <c r="T89" s="362">
        <v>1</v>
      </c>
      <c r="U89" s="363">
        <v>1</v>
      </c>
      <c r="V89" s="363">
        <v>1</v>
      </c>
      <c r="W89" s="363">
        <v>1</v>
      </c>
      <c r="X89" s="363">
        <v>1</v>
      </c>
      <c r="Y89" s="364">
        <f t="shared" si="41"/>
        <v>1</v>
      </c>
      <c r="Z89" s="362">
        <v>0</v>
      </c>
      <c r="AA89" s="363">
        <v>0</v>
      </c>
      <c r="AB89" s="363">
        <v>0</v>
      </c>
      <c r="AC89" s="363">
        <f t="shared" si="42"/>
        <v>297.86017613164762</v>
      </c>
      <c r="AD89" s="363">
        <f t="shared" si="37"/>
        <v>0</v>
      </c>
      <c r="AE89" s="364">
        <f t="shared" si="37"/>
        <v>0</v>
      </c>
    </row>
    <row r="90" spans="2:31" x14ac:dyDescent="0.2">
      <c r="B90" s="365">
        <v>2036</v>
      </c>
      <c r="C90" s="301">
        <f t="shared" si="38"/>
        <v>139788.33333333334</v>
      </c>
      <c r="D90" s="302">
        <f t="shared" si="38"/>
        <v>11739.062799073135</v>
      </c>
      <c r="E90" s="302">
        <f t="shared" si="38"/>
        <v>18025.263936985564</v>
      </c>
      <c r="F90" s="302">
        <f t="shared" si="38"/>
        <v>132232.87532720482</v>
      </c>
      <c r="G90" s="302">
        <f t="shared" si="38"/>
        <v>65162.223967203601</v>
      </c>
      <c r="H90" s="303">
        <f t="shared" si="38"/>
        <v>0</v>
      </c>
      <c r="I90" s="366">
        <f>D90*I60</f>
        <v>0</v>
      </c>
      <c r="J90" s="367">
        <f>E90*J60</f>
        <v>0</v>
      </c>
      <c r="K90" s="367">
        <f>F90*K60</f>
        <v>0</v>
      </c>
      <c r="L90" s="367">
        <f>G90*L60</f>
        <v>0</v>
      </c>
      <c r="M90" s="368">
        <f>H90*M60</f>
        <v>0</v>
      </c>
      <c r="N90" s="371">
        <f t="shared" si="39"/>
        <v>7.3355433916329638</v>
      </c>
      <c r="O90" s="308">
        <f t="shared" si="40"/>
        <v>9.9013871684490748</v>
      </c>
      <c r="P90" s="308">
        <f t="shared" si="40"/>
        <v>10.6819243189875</v>
      </c>
      <c r="Q90" s="369">
        <f t="shared" si="40"/>
        <v>19.250275579346837</v>
      </c>
      <c r="R90" s="369">
        <f t="shared" si="40"/>
        <v>12.417889275516739</v>
      </c>
      <c r="S90" s="370">
        <f t="shared" si="40"/>
        <v>1</v>
      </c>
      <c r="T90" s="310">
        <v>1</v>
      </c>
      <c r="U90" s="311">
        <v>1</v>
      </c>
      <c r="V90" s="311">
        <v>1</v>
      </c>
      <c r="W90" s="311">
        <v>1</v>
      </c>
      <c r="X90" s="311">
        <v>1</v>
      </c>
      <c r="Y90" s="312">
        <f t="shared" si="41"/>
        <v>1</v>
      </c>
      <c r="Z90" s="310">
        <v>0</v>
      </c>
      <c r="AA90" s="311">
        <v>0</v>
      </c>
      <c r="AB90" s="311">
        <v>0</v>
      </c>
      <c r="AC90" s="311">
        <f t="shared" si="42"/>
        <v>299.70549546891095</v>
      </c>
      <c r="AD90" s="311">
        <f t="shared" si="37"/>
        <v>0</v>
      </c>
      <c r="AE90" s="312">
        <f t="shared" si="37"/>
        <v>0</v>
      </c>
    </row>
    <row r="91" spans="2:31" x14ac:dyDescent="0.2">
      <c r="B91" s="313">
        <v>2037</v>
      </c>
      <c r="C91" s="314">
        <f t="shared" si="38"/>
        <v>139788.33333333334</v>
      </c>
      <c r="D91" s="315">
        <f t="shared" si="38"/>
        <v>11752.718656771061</v>
      </c>
      <c r="E91" s="315">
        <f t="shared" si="38"/>
        <v>17987.824127130414</v>
      </c>
      <c r="F91" s="315">
        <f t="shared" si="38"/>
        <v>129631.84411148069</v>
      </c>
      <c r="G91" s="315">
        <f t="shared" si="38"/>
        <v>64211.366595696949</v>
      </c>
      <c r="H91" s="316">
        <f t="shared" si="38"/>
        <v>0</v>
      </c>
      <c r="I91" s="317">
        <f>D91*I60</f>
        <v>0</v>
      </c>
      <c r="J91" s="318">
        <f>E91*J60</f>
        <v>0</v>
      </c>
      <c r="K91" s="318">
        <f>F91*K60</f>
        <v>0</v>
      </c>
      <c r="L91" s="318">
        <f>G91*L60</f>
        <v>0</v>
      </c>
      <c r="M91" s="319">
        <f>H91*M60</f>
        <v>0</v>
      </c>
      <c r="N91" s="372">
        <f t="shared" si="39"/>
        <v>7.3359595682662686</v>
      </c>
      <c r="O91" s="321">
        <f t="shared" si="40"/>
        <v>9.9563293808173317</v>
      </c>
      <c r="P91" s="321">
        <f t="shared" si="40"/>
        <v>10.772526927866835</v>
      </c>
      <c r="Q91" s="352">
        <f t="shared" si="40"/>
        <v>19.412252838686136</v>
      </c>
      <c r="R91" s="352">
        <f t="shared" si="40"/>
        <v>12.536523584604787</v>
      </c>
      <c r="S91" s="353">
        <f t="shared" si="40"/>
        <v>1</v>
      </c>
      <c r="T91" s="323">
        <v>1</v>
      </c>
      <c r="U91" s="324">
        <v>1</v>
      </c>
      <c r="V91" s="324">
        <v>1</v>
      </c>
      <c r="W91" s="324">
        <v>1</v>
      </c>
      <c r="X91" s="324">
        <v>1</v>
      </c>
      <c r="Y91" s="325">
        <f t="shared" si="41"/>
        <v>1</v>
      </c>
      <c r="Z91" s="323">
        <v>0</v>
      </c>
      <c r="AA91" s="324">
        <v>0</v>
      </c>
      <c r="AB91" s="324">
        <v>0</v>
      </c>
      <c r="AC91" s="324">
        <f t="shared" si="42"/>
        <v>301.55081480617429</v>
      </c>
      <c r="AD91" s="324">
        <f t="shared" si="42"/>
        <v>0</v>
      </c>
      <c r="AE91" s="325">
        <f t="shared" si="42"/>
        <v>0</v>
      </c>
    </row>
    <row r="92" spans="2:31" x14ac:dyDescent="0.2">
      <c r="B92" s="313">
        <v>2038</v>
      </c>
      <c r="C92" s="314">
        <f t="shared" ref="C92:H104" si="43">AC23</f>
        <v>139788.33333333334</v>
      </c>
      <c r="D92" s="315">
        <f t="shared" si="43"/>
        <v>11773.876345606122</v>
      </c>
      <c r="E92" s="315">
        <f t="shared" si="43"/>
        <v>17929.81679690762</v>
      </c>
      <c r="F92" s="315">
        <f t="shared" si="43"/>
        <v>125601.93911906665</v>
      </c>
      <c r="G92" s="315">
        <f t="shared" si="43"/>
        <v>62738.156722111649</v>
      </c>
      <c r="H92" s="316">
        <f t="shared" si="43"/>
        <v>0</v>
      </c>
      <c r="I92" s="317">
        <f>D92*I60</f>
        <v>0</v>
      </c>
      <c r="J92" s="318">
        <f>E92*J60</f>
        <v>0</v>
      </c>
      <c r="K92" s="318">
        <f>F92*K60</f>
        <v>0</v>
      </c>
      <c r="L92" s="318">
        <f>G92*L60</f>
        <v>0</v>
      </c>
      <c r="M92" s="319">
        <f>H92*M60</f>
        <v>0</v>
      </c>
      <c r="N92" s="372">
        <f t="shared" si="39"/>
        <v>7.3363757448995734</v>
      </c>
      <c r="O92" s="321">
        <f t="shared" ref="O92:S104" si="44">MAX(K23,1)</f>
        <v>10.041454040059637</v>
      </c>
      <c r="P92" s="321">
        <f t="shared" si="44"/>
        <v>10.912901985129238</v>
      </c>
      <c r="Q92" s="352">
        <f t="shared" si="44"/>
        <v>19.663212135953646</v>
      </c>
      <c r="R92" s="352">
        <f t="shared" si="44"/>
        <v>12.720329527253735</v>
      </c>
      <c r="S92" s="353">
        <f t="shared" si="44"/>
        <v>1</v>
      </c>
      <c r="T92" s="323">
        <v>1</v>
      </c>
      <c r="U92" s="324">
        <v>1</v>
      </c>
      <c r="V92" s="324">
        <v>1</v>
      </c>
      <c r="W92" s="324">
        <v>1</v>
      </c>
      <c r="X92" s="324">
        <v>1</v>
      </c>
      <c r="Y92" s="325">
        <f t="shared" si="41"/>
        <v>1</v>
      </c>
      <c r="Z92" s="323">
        <v>0</v>
      </c>
      <c r="AA92" s="324">
        <v>0</v>
      </c>
      <c r="AB92" s="324">
        <v>0</v>
      </c>
      <c r="AC92" s="324">
        <f t="shared" ref="AC92:AE104" si="45">Q23</f>
        <v>303.39613414343762</v>
      </c>
      <c r="AD92" s="324">
        <f t="shared" si="45"/>
        <v>0</v>
      </c>
      <c r="AE92" s="325">
        <f t="shared" si="45"/>
        <v>0</v>
      </c>
    </row>
    <row r="93" spans="2:31" x14ac:dyDescent="0.2">
      <c r="B93" s="313">
        <v>2039</v>
      </c>
      <c r="C93" s="314">
        <f t="shared" si="43"/>
        <v>139788.33333333334</v>
      </c>
      <c r="D93" s="315">
        <f t="shared" si="43"/>
        <v>11805.494985485671</v>
      </c>
      <c r="E93" s="315">
        <f t="shared" si="43"/>
        <v>17843.129025904527</v>
      </c>
      <c r="F93" s="315">
        <f t="shared" si="43"/>
        <v>119579.5367812092</v>
      </c>
      <c r="G93" s="315">
        <f t="shared" si="43"/>
        <v>60536.55082729875</v>
      </c>
      <c r="H93" s="316">
        <f t="shared" si="43"/>
        <v>0</v>
      </c>
      <c r="I93" s="317">
        <f>D93*I60</f>
        <v>0</v>
      </c>
      <c r="J93" s="318">
        <f>E93*J60</f>
        <v>0</v>
      </c>
      <c r="K93" s="318">
        <f>F93*K60</f>
        <v>0</v>
      </c>
      <c r="L93" s="318">
        <f>G93*L60</f>
        <v>0</v>
      </c>
      <c r="M93" s="319">
        <f>H93*M60</f>
        <v>0</v>
      </c>
      <c r="N93" s="372">
        <f t="shared" si="39"/>
        <v>7.3367919215328783</v>
      </c>
      <c r="O93" s="321">
        <f t="shared" si="44"/>
        <v>10.16866670333463</v>
      </c>
      <c r="P93" s="321">
        <f t="shared" si="44"/>
        <v>11.12268238308536</v>
      </c>
      <c r="Q93" s="352">
        <f t="shared" si="44"/>
        <v>20.038252704258845</v>
      </c>
      <c r="R93" s="352">
        <f t="shared" si="44"/>
        <v>12.995014250790607</v>
      </c>
      <c r="S93" s="353">
        <f t="shared" si="44"/>
        <v>1</v>
      </c>
      <c r="T93" s="323">
        <v>1</v>
      </c>
      <c r="U93" s="324">
        <v>1</v>
      </c>
      <c r="V93" s="324">
        <v>1</v>
      </c>
      <c r="W93" s="324">
        <v>1</v>
      </c>
      <c r="X93" s="324">
        <v>1</v>
      </c>
      <c r="Y93" s="325">
        <f t="shared" si="41"/>
        <v>1</v>
      </c>
      <c r="Z93" s="323">
        <v>0</v>
      </c>
      <c r="AA93" s="324">
        <v>0</v>
      </c>
      <c r="AB93" s="324">
        <v>0</v>
      </c>
      <c r="AC93" s="324">
        <f t="shared" si="45"/>
        <v>305.24145348070095</v>
      </c>
      <c r="AD93" s="324">
        <f t="shared" si="45"/>
        <v>0</v>
      </c>
      <c r="AE93" s="325">
        <f t="shared" si="45"/>
        <v>0</v>
      </c>
    </row>
    <row r="94" spans="2:31" ht="15" thickBot="1" x14ac:dyDescent="0.25">
      <c r="B94" s="326">
        <v>2040</v>
      </c>
      <c r="C94" s="327">
        <f t="shared" si="43"/>
        <v>139788.33333333334</v>
      </c>
      <c r="D94" s="328">
        <f t="shared" si="43"/>
        <v>11850.286749961842</v>
      </c>
      <c r="E94" s="328">
        <f t="shared" si="43"/>
        <v>17720.324938299025</v>
      </c>
      <c r="F94" s="328">
        <f t="shared" si="43"/>
        <v>111048.04940143277</v>
      </c>
      <c r="G94" s="328">
        <f t="shared" si="43"/>
        <v>57417.700266822896</v>
      </c>
      <c r="H94" s="329">
        <f t="shared" si="43"/>
        <v>0</v>
      </c>
      <c r="I94" s="330">
        <f>D94*I60</f>
        <v>0</v>
      </c>
      <c r="J94" s="331">
        <f>E94*J60</f>
        <v>0</v>
      </c>
      <c r="K94" s="331">
        <f>F94*K60</f>
        <v>0</v>
      </c>
      <c r="L94" s="331">
        <f>G94*L60</f>
        <v>0</v>
      </c>
      <c r="M94" s="332">
        <f>H94*M60</f>
        <v>0</v>
      </c>
      <c r="N94" s="374">
        <f t="shared" si="39"/>
        <v>7.3372080981661831</v>
      </c>
      <c r="O94" s="334">
        <f t="shared" si="44"/>
        <v>10.348879377678212</v>
      </c>
      <c r="P94" s="334">
        <f t="shared" si="44"/>
        <v>11.419862597438796</v>
      </c>
      <c r="Q94" s="348">
        <f t="shared" si="44"/>
        <v>20.56954465320198</v>
      </c>
      <c r="R94" s="348">
        <f t="shared" si="44"/>
        <v>13.384139573345184</v>
      </c>
      <c r="S94" s="349">
        <f t="shared" si="44"/>
        <v>1</v>
      </c>
      <c r="T94" s="336">
        <v>1</v>
      </c>
      <c r="U94" s="337">
        <v>1</v>
      </c>
      <c r="V94" s="337">
        <v>1</v>
      </c>
      <c r="W94" s="337">
        <v>1</v>
      </c>
      <c r="X94" s="337">
        <v>1</v>
      </c>
      <c r="Y94" s="338">
        <f t="shared" si="41"/>
        <v>1</v>
      </c>
      <c r="Z94" s="336">
        <v>0</v>
      </c>
      <c r="AA94" s="337">
        <v>0</v>
      </c>
      <c r="AB94" s="337">
        <v>0</v>
      </c>
      <c r="AC94" s="337">
        <f t="shared" si="45"/>
        <v>307.08677281796429</v>
      </c>
      <c r="AD94" s="337">
        <f t="shared" si="45"/>
        <v>0</v>
      </c>
      <c r="AE94" s="338">
        <f t="shared" si="45"/>
        <v>0</v>
      </c>
    </row>
    <row r="95" spans="2:31" x14ac:dyDescent="0.2">
      <c r="B95" s="365">
        <v>2041</v>
      </c>
      <c r="C95" s="301">
        <f t="shared" si="43"/>
        <v>139788.33333333334</v>
      </c>
      <c r="D95" s="302">
        <f t="shared" si="43"/>
        <v>11909.159447161421</v>
      </c>
      <c r="E95" s="302">
        <f t="shared" si="43"/>
        <v>17558.91562681018</v>
      </c>
      <c r="F95" s="302">
        <f t="shared" si="43"/>
        <v>99834.566765828989</v>
      </c>
      <c r="G95" s="302">
        <f t="shared" si="43"/>
        <v>53318.394360816237</v>
      </c>
      <c r="H95" s="303">
        <f t="shared" si="43"/>
        <v>0</v>
      </c>
      <c r="I95" s="366">
        <f>D95*I60</f>
        <v>0</v>
      </c>
      <c r="J95" s="367">
        <f>E95*J60</f>
        <v>0</v>
      </c>
      <c r="K95" s="367">
        <f>F95*K60</f>
        <v>0</v>
      </c>
      <c r="L95" s="367">
        <f>G95*L60</f>
        <v>0</v>
      </c>
      <c r="M95" s="368">
        <f>H95*M60</f>
        <v>0</v>
      </c>
      <c r="N95" s="371">
        <f t="shared" si="39"/>
        <v>7.337624274799488</v>
      </c>
      <c r="O95" s="343">
        <f t="shared" si="44"/>
        <v>10.585744487419539</v>
      </c>
      <c r="P95" s="343">
        <f t="shared" si="44"/>
        <v>11.810465668738725</v>
      </c>
      <c r="Q95" s="343">
        <f t="shared" si="44"/>
        <v>21.267855836083442</v>
      </c>
      <c r="R95" s="343">
        <f t="shared" si="44"/>
        <v>13.895592014555239</v>
      </c>
      <c r="S95" s="344">
        <f t="shared" si="44"/>
        <v>1</v>
      </c>
      <c r="T95" s="310">
        <v>1</v>
      </c>
      <c r="U95" s="311">
        <v>1</v>
      </c>
      <c r="V95" s="311">
        <v>1</v>
      </c>
      <c r="W95" s="311">
        <v>1</v>
      </c>
      <c r="X95" s="311">
        <v>1</v>
      </c>
      <c r="Y95" s="312">
        <f t="shared" si="41"/>
        <v>1</v>
      </c>
      <c r="Z95" s="310">
        <v>0</v>
      </c>
      <c r="AA95" s="311">
        <v>0</v>
      </c>
      <c r="AB95" s="311">
        <v>0</v>
      </c>
      <c r="AC95" s="311">
        <f t="shared" si="45"/>
        <v>308.93209215522762</v>
      </c>
      <c r="AD95" s="311">
        <f t="shared" si="45"/>
        <v>0</v>
      </c>
      <c r="AE95" s="312">
        <f t="shared" si="45"/>
        <v>0</v>
      </c>
    </row>
    <row r="96" spans="2:31" x14ac:dyDescent="0.2">
      <c r="B96" s="313">
        <v>2042</v>
      </c>
      <c r="C96" s="314">
        <f t="shared" si="43"/>
        <v>139788.33333333334</v>
      </c>
      <c r="D96" s="315">
        <f t="shared" si="43"/>
        <v>11979.360766135178</v>
      </c>
      <c r="E96" s="315">
        <f t="shared" si="43"/>
        <v>17366.447010623797</v>
      </c>
      <c r="F96" s="315">
        <f t="shared" si="43"/>
        <v>86463.321540897479</v>
      </c>
      <c r="G96" s="315">
        <f t="shared" si="43"/>
        <v>48430.276520673549</v>
      </c>
      <c r="H96" s="316">
        <f t="shared" si="43"/>
        <v>0</v>
      </c>
      <c r="I96" s="317">
        <f>D96*I60</f>
        <v>0</v>
      </c>
      <c r="J96" s="318">
        <f>E96*J60</f>
        <v>0</v>
      </c>
      <c r="K96" s="318">
        <f>F96*K60</f>
        <v>0</v>
      </c>
      <c r="L96" s="318">
        <f>G96*L60</f>
        <v>0</v>
      </c>
      <c r="M96" s="319">
        <f>H96*M60</f>
        <v>0</v>
      </c>
      <c r="N96" s="372">
        <f t="shared" si="39"/>
        <v>7.3380404514327937</v>
      </c>
      <c r="O96" s="321">
        <f t="shared" si="44"/>
        <v>10.868188538969189</v>
      </c>
      <c r="P96" s="321">
        <f t="shared" si="44"/>
        <v>12.276230821429088</v>
      </c>
      <c r="Q96" s="321">
        <f t="shared" si="44"/>
        <v>22.100540058554461</v>
      </c>
      <c r="R96" s="321">
        <f t="shared" si="44"/>
        <v>14.505461065459716</v>
      </c>
      <c r="S96" s="322">
        <f t="shared" si="44"/>
        <v>1</v>
      </c>
      <c r="T96" s="323">
        <v>1</v>
      </c>
      <c r="U96" s="324">
        <v>1</v>
      </c>
      <c r="V96" s="324">
        <v>1</v>
      </c>
      <c r="W96" s="324">
        <v>1</v>
      </c>
      <c r="X96" s="324">
        <v>1</v>
      </c>
      <c r="Y96" s="325">
        <f t="shared" si="41"/>
        <v>1</v>
      </c>
      <c r="Z96" s="323">
        <v>0</v>
      </c>
      <c r="AA96" s="324">
        <v>0</v>
      </c>
      <c r="AB96" s="324">
        <v>0</v>
      </c>
      <c r="AC96" s="324">
        <f t="shared" si="45"/>
        <v>310.77741149249096</v>
      </c>
      <c r="AD96" s="324">
        <f t="shared" si="45"/>
        <v>0</v>
      </c>
      <c r="AE96" s="325">
        <f t="shared" si="45"/>
        <v>0</v>
      </c>
    </row>
    <row r="97" spans="2:31" x14ac:dyDescent="0.2">
      <c r="B97" s="313">
        <v>2043</v>
      </c>
      <c r="C97" s="314">
        <f t="shared" si="43"/>
        <v>139788.33333333334</v>
      </c>
      <c r="D97" s="315">
        <f t="shared" si="43"/>
        <v>12053.972567198136</v>
      </c>
      <c r="E97" s="315">
        <f t="shared" si="43"/>
        <v>17161.886322709517</v>
      </c>
      <c r="F97" s="315">
        <f t="shared" si="43"/>
        <v>72252.011792435951</v>
      </c>
      <c r="G97" s="315">
        <f t="shared" si="43"/>
        <v>43235.056812659808</v>
      </c>
      <c r="H97" s="316">
        <f t="shared" si="43"/>
        <v>0</v>
      </c>
      <c r="I97" s="317">
        <f>D97*I60</f>
        <v>0</v>
      </c>
      <c r="J97" s="318">
        <f>E97*J60</f>
        <v>0</v>
      </c>
      <c r="K97" s="318">
        <f>F97*K60</f>
        <v>0</v>
      </c>
      <c r="L97" s="318">
        <f>G97*L60</f>
        <v>0</v>
      </c>
      <c r="M97" s="319">
        <f>H97*M60</f>
        <v>0</v>
      </c>
      <c r="N97" s="372">
        <f t="shared" si="39"/>
        <v>7.3384566280660994</v>
      </c>
      <c r="O97" s="321">
        <f t="shared" si="44"/>
        <v>11.168377476922283</v>
      </c>
      <c r="P97" s="321">
        <f t="shared" si="44"/>
        <v>12.771258228643232</v>
      </c>
      <c r="Q97" s="321">
        <f t="shared" si="44"/>
        <v>22.985538666322732</v>
      </c>
      <c r="R97" s="321">
        <f t="shared" si="44"/>
        <v>15.15364587118324</v>
      </c>
      <c r="S97" s="322">
        <f t="shared" si="44"/>
        <v>1</v>
      </c>
      <c r="T97" s="323">
        <v>1</v>
      </c>
      <c r="U97" s="324">
        <v>1</v>
      </c>
      <c r="V97" s="324">
        <v>1</v>
      </c>
      <c r="W97" s="324">
        <v>1</v>
      </c>
      <c r="X97" s="324">
        <v>1</v>
      </c>
      <c r="Y97" s="325">
        <f t="shared" si="41"/>
        <v>1</v>
      </c>
      <c r="Z97" s="323">
        <v>0</v>
      </c>
      <c r="AA97" s="324">
        <v>0</v>
      </c>
      <c r="AB97" s="324">
        <v>0</v>
      </c>
      <c r="AC97" s="324">
        <f t="shared" si="45"/>
        <v>312.62273082975429</v>
      </c>
      <c r="AD97" s="324">
        <f t="shared" si="45"/>
        <v>0</v>
      </c>
      <c r="AE97" s="325">
        <f t="shared" si="45"/>
        <v>0</v>
      </c>
    </row>
    <row r="98" spans="2:31" x14ac:dyDescent="0.2">
      <c r="B98" s="313">
        <v>2044</v>
      </c>
      <c r="C98" s="314">
        <f t="shared" si="43"/>
        <v>139788.33333333334</v>
      </c>
      <c r="D98" s="315">
        <f t="shared" si="43"/>
        <v>12124.173886171891</v>
      </c>
      <c r="E98" s="315">
        <f t="shared" si="43"/>
        <v>16969.417706523138</v>
      </c>
      <c r="F98" s="315">
        <f t="shared" si="43"/>
        <v>58880.766567504499</v>
      </c>
      <c r="G98" s="315">
        <f t="shared" si="43"/>
        <v>38346.93897251712</v>
      </c>
      <c r="H98" s="316">
        <f t="shared" si="43"/>
        <v>0</v>
      </c>
      <c r="I98" s="317">
        <f>D98*I60</f>
        <v>0</v>
      </c>
      <c r="J98" s="318">
        <f>E98*J60</f>
        <v>0</v>
      </c>
      <c r="K98" s="318">
        <f>F98*K60</f>
        <v>0</v>
      </c>
      <c r="L98" s="318">
        <f>G98*L60</f>
        <v>0</v>
      </c>
      <c r="M98" s="319">
        <f>H98*M60</f>
        <v>0</v>
      </c>
      <c r="N98" s="372">
        <f t="shared" si="39"/>
        <v>7.3388728046994043</v>
      </c>
      <c r="O98" s="321">
        <f t="shared" si="44"/>
        <v>11.450821528471934</v>
      </c>
      <c r="P98" s="321">
        <f t="shared" si="44"/>
        <v>13.237023381333595</v>
      </c>
      <c r="Q98" s="321">
        <f t="shared" si="44"/>
        <v>23.818222888793748</v>
      </c>
      <c r="R98" s="321">
        <f t="shared" si="44"/>
        <v>15.763514922087717</v>
      </c>
      <c r="S98" s="322">
        <f t="shared" si="44"/>
        <v>1</v>
      </c>
      <c r="T98" s="323">
        <v>1</v>
      </c>
      <c r="U98" s="324">
        <v>1</v>
      </c>
      <c r="V98" s="324">
        <v>1</v>
      </c>
      <c r="W98" s="324">
        <v>1</v>
      </c>
      <c r="X98" s="324">
        <v>1</v>
      </c>
      <c r="Y98" s="325">
        <f t="shared" si="41"/>
        <v>1</v>
      </c>
      <c r="Z98" s="323">
        <v>0</v>
      </c>
      <c r="AA98" s="324">
        <v>0</v>
      </c>
      <c r="AB98" s="324">
        <v>0</v>
      </c>
      <c r="AC98" s="324">
        <f t="shared" si="45"/>
        <v>314.46805016701762</v>
      </c>
      <c r="AD98" s="324">
        <f t="shared" si="45"/>
        <v>0</v>
      </c>
      <c r="AE98" s="325">
        <f t="shared" si="45"/>
        <v>0</v>
      </c>
    </row>
    <row r="99" spans="2:31" ht="15" thickBot="1" x14ac:dyDescent="0.25">
      <c r="B99" s="326">
        <v>2045</v>
      </c>
      <c r="C99" s="327">
        <f t="shared" si="43"/>
        <v>139788.33333333334</v>
      </c>
      <c r="D99" s="328">
        <f t="shared" si="43"/>
        <v>12183.046583371472</v>
      </c>
      <c r="E99" s="328">
        <f t="shared" si="43"/>
        <v>16808.008395034289</v>
      </c>
      <c r="F99" s="328">
        <f t="shared" si="43"/>
        <v>47667.283931900587</v>
      </c>
      <c r="G99" s="328">
        <f t="shared" si="43"/>
        <v>34247.633066510432</v>
      </c>
      <c r="H99" s="329">
        <f t="shared" si="43"/>
        <v>0</v>
      </c>
      <c r="I99" s="330">
        <f>D99*I60</f>
        <v>0</v>
      </c>
      <c r="J99" s="331">
        <f>E99*J60</f>
        <v>0</v>
      </c>
      <c r="K99" s="331">
        <f>F99*K60</f>
        <v>0</v>
      </c>
      <c r="L99" s="331">
        <f>G99*L60</f>
        <v>0</v>
      </c>
      <c r="M99" s="332">
        <f>H99*M60</f>
        <v>0</v>
      </c>
      <c r="N99" s="374">
        <f t="shared" si="39"/>
        <v>7.3392889813327091</v>
      </c>
      <c r="O99" s="334">
        <f t="shared" si="44"/>
        <v>11.687686638213263</v>
      </c>
      <c r="P99" s="334">
        <f t="shared" si="44"/>
        <v>13.627626452633526</v>
      </c>
      <c r="Q99" s="334">
        <f t="shared" si="44"/>
        <v>24.516534071675217</v>
      </c>
      <c r="R99" s="334">
        <f t="shared" si="44"/>
        <v>16.274967363297776</v>
      </c>
      <c r="S99" s="335">
        <f t="shared" si="44"/>
        <v>1</v>
      </c>
      <c r="T99" s="336">
        <v>1</v>
      </c>
      <c r="U99" s="337">
        <v>1</v>
      </c>
      <c r="V99" s="337">
        <v>1</v>
      </c>
      <c r="W99" s="337">
        <v>1</v>
      </c>
      <c r="X99" s="337">
        <v>1</v>
      </c>
      <c r="Y99" s="338">
        <f t="shared" si="41"/>
        <v>1</v>
      </c>
      <c r="Z99" s="336">
        <v>0</v>
      </c>
      <c r="AA99" s="337">
        <v>0</v>
      </c>
      <c r="AB99" s="337">
        <v>0</v>
      </c>
      <c r="AC99" s="337">
        <f t="shared" si="45"/>
        <v>316.31336950428096</v>
      </c>
      <c r="AD99" s="337">
        <f t="shared" si="45"/>
        <v>0</v>
      </c>
      <c r="AE99" s="338">
        <f t="shared" si="45"/>
        <v>0</v>
      </c>
    </row>
    <row r="100" spans="2:31" x14ac:dyDescent="0.2">
      <c r="B100" s="365">
        <v>2046</v>
      </c>
      <c r="C100" s="301">
        <f t="shared" si="43"/>
        <v>139788.33333333334</v>
      </c>
      <c r="D100" s="302">
        <f t="shared" si="43"/>
        <v>12227.838347847643</v>
      </c>
      <c r="E100" s="302">
        <f t="shared" si="43"/>
        <v>16685.204307428787</v>
      </c>
      <c r="F100" s="302">
        <f t="shared" si="43"/>
        <v>39135.796552124186</v>
      </c>
      <c r="G100" s="302">
        <f t="shared" si="43"/>
        <v>31128.782506034571</v>
      </c>
      <c r="H100" s="303">
        <f t="shared" si="43"/>
        <v>0</v>
      </c>
      <c r="I100" s="366">
        <f>D100*I60</f>
        <v>0</v>
      </c>
      <c r="J100" s="367">
        <f>E100*J60</f>
        <v>0</v>
      </c>
      <c r="K100" s="367">
        <f>F100*K60</f>
        <v>0</v>
      </c>
      <c r="L100" s="367">
        <f>G100*L60</f>
        <v>0</v>
      </c>
      <c r="M100" s="368">
        <f>H100*M60</f>
        <v>0</v>
      </c>
      <c r="N100" s="371">
        <f t="shared" si="39"/>
        <v>7.3397051579660149</v>
      </c>
      <c r="O100" s="308">
        <f t="shared" si="44"/>
        <v>11.867899312556846</v>
      </c>
      <c r="P100" s="308">
        <f t="shared" si="44"/>
        <v>13.924806666986962</v>
      </c>
      <c r="Q100" s="308">
        <f t="shared" si="44"/>
        <v>25.047826020618352</v>
      </c>
      <c r="R100" s="308">
        <f t="shared" si="44"/>
        <v>16.664092685852353</v>
      </c>
      <c r="S100" s="309">
        <f t="shared" si="44"/>
        <v>1</v>
      </c>
      <c r="T100" s="310">
        <v>1</v>
      </c>
      <c r="U100" s="311">
        <v>1</v>
      </c>
      <c r="V100" s="311">
        <v>1</v>
      </c>
      <c r="W100" s="311">
        <v>1</v>
      </c>
      <c r="X100" s="311">
        <v>1</v>
      </c>
      <c r="Y100" s="312">
        <f t="shared" si="41"/>
        <v>1</v>
      </c>
      <c r="Z100" s="310">
        <v>0</v>
      </c>
      <c r="AA100" s="311">
        <v>0</v>
      </c>
      <c r="AB100" s="311">
        <v>0</v>
      </c>
      <c r="AC100" s="311">
        <f t="shared" si="45"/>
        <v>318.15868884154429</v>
      </c>
      <c r="AD100" s="311">
        <f t="shared" si="45"/>
        <v>0</v>
      </c>
      <c r="AE100" s="312">
        <f t="shared" si="45"/>
        <v>0</v>
      </c>
    </row>
    <row r="101" spans="2:31" x14ac:dyDescent="0.2">
      <c r="B101" s="313">
        <v>2047</v>
      </c>
      <c r="C101" s="314">
        <f t="shared" si="43"/>
        <v>139788.33333333334</v>
      </c>
      <c r="D101" s="315">
        <f t="shared" si="43"/>
        <v>12259.456987727192</v>
      </c>
      <c r="E101" s="315">
        <f t="shared" si="43"/>
        <v>16598.516536425694</v>
      </c>
      <c r="F101" s="315">
        <f t="shared" si="43"/>
        <v>33113.394214266766</v>
      </c>
      <c r="G101" s="315">
        <f t="shared" si="43"/>
        <v>28927.17661122165</v>
      </c>
      <c r="H101" s="316">
        <f t="shared" si="43"/>
        <v>0</v>
      </c>
      <c r="I101" s="317">
        <f>D101*I60</f>
        <v>0</v>
      </c>
      <c r="J101" s="318">
        <f>E101*J60</f>
        <v>0</v>
      </c>
      <c r="K101" s="318">
        <f>F101*K60</f>
        <v>0</v>
      </c>
      <c r="L101" s="318">
        <f>G101*L60</f>
        <v>0</v>
      </c>
      <c r="M101" s="319">
        <f>H101*M60</f>
        <v>0</v>
      </c>
      <c r="N101" s="372">
        <f t="shared" si="39"/>
        <v>7.3401213345993206</v>
      </c>
      <c r="O101" s="321">
        <f t="shared" si="44"/>
        <v>11.995111975831838</v>
      </c>
      <c r="P101" s="321">
        <f t="shared" si="44"/>
        <v>14.134587064943084</v>
      </c>
      <c r="Q101" s="321">
        <f t="shared" si="44"/>
        <v>25.422866588923547</v>
      </c>
      <c r="R101" s="321">
        <f t="shared" si="44"/>
        <v>16.938777409389228</v>
      </c>
      <c r="S101" s="322">
        <f t="shared" si="44"/>
        <v>1</v>
      </c>
      <c r="T101" s="323">
        <v>1</v>
      </c>
      <c r="U101" s="324">
        <v>1</v>
      </c>
      <c r="V101" s="324">
        <v>1</v>
      </c>
      <c r="W101" s="324">
        <v>1</v>
      </c>
      <c r="X101" s="324">
        <v>1</v>
      </c>
      <c r="Y101" s="325">
        <f t="shared" si="41"/>
        <v>1</v>
      </c>
      <c r="Z101" s="323">
        <v>0</v>
      </c>
      <c r="AA101" s="324">
        <v>0</v>
      </c>
      <c r="AB101" s="324">
        <v>0</v>
      </c>
      <c r="AC101" s="324">
        <f t="shared" si="45"/>
        <v>320.00400817880762</v>
      </c>
      <c r="AD101" s="324">
        <f t="shared" si="45"/>
        <v>0</v>
      </c>
      <c r="AE101" s="325">
        <f t="shared" si="45"/>
        <v>0</v>
      </c>
    </row>
    <row r="102" spans="2:31" x14ac:dyDescent="0.2">
      <c r="B102" s="313">
        <v>2048</v>
      </c>
      <c r="C102" s="314">
        <f t="shared" si="43"/>
        <v>139788.33333333334</v>
      </c>
      <c r="D102" s="315">
        <f t="shared" si="43"/>
        <v>12280.614676562252</v>
      </c>
      <c r="E102" s="315">
        <f t="shared" si="43"/>
        <v>16540.5092062029</v>
      </c>
      <c r="F102" s="315">
        <f t="shared" si="43"/>
        <v>29083.489221852622</v>
      </c>
      <c r="G102" s="315">
        <f t="shared" si="43"/>
        <v>27453.966737636329</v>
      </c>
      <c r="H102" s="316">
        <f t="shared" si="43"/>
        <v>0</v>
      </c>
      <c r="I102" s="317">
        <f>D102*I60</f>
        <v>0</v>
      </c>
      <c r="J102" s="318">
        <f>E102*J60</f>
        <v>0</v>
      </c>
      <c r="K102" s="318">
        <f>F102*K60</f>
        <v>0</v>
      </c>
      <c r="L102" s="318">
        <f>G102*L60</f>
        <v>0</v>
      </c>
      <c r="M102" s="319">
        <f>H102*M60</f>
        <v>0</v>
      </c>
      <c r="N102" s="372">
        <f t="shared" si="39"/>
        <v>7.3405375112326254</v>
      </c>
      <c r="O102" s="321">
        <f t="shared" si="44"/>
        <v>12.080236635074145</v>
      </c>
      <c r="P102" s="321">
        <f t="shared" si="44"/>
        <v>14.274962122205489</v>
      </c>
      <c r="Q102" s="321">
        <f t="shared" si="44"/>
        <v>25.673825886191064</v>
      </c>
      <c r="R102" s="321">
        <f t="shared" si="44"/>
        <v>17.12258335203818</v>
      </c>
      <c r="S102" s="322">
        <f t="shared" si="44"/>
        <v>1</v>
      </c>
      <c r="T102" s="323">
        <v>1</v>
      </c>
      <c r="U102" s="324">
        <v>1</v>
      </c>
      <c r="V102" s="324">
        <v>1</v>
      </c>
      <c r="W102" s="324">
        <v>1</v>
      </c>
      <c r="X102" s="324">
        <v>1</v>
      </c>
      <c r="Y102" s="325">
        <f t="shared" si="41"/>
        <v>1</v>
      </c>
      <c r="Z102" s="323">
        <v>0</v>
      </c>
      <c r="AA102" s="324">
        <v>0</v>
      </c>
      <c r="AB102" s="324">
        <v>0</v>
      </c>
      <c r="AC102" s="324">
        <f t="shared" si="45"/>
        <v>321.84932751607096</v>
      </c>
      <c r="AD102" s="324">
        <f t="shared" si="45"/>
        <v>0</v>
      </c>
      <c r="AE102" s="325">
        <f t="shared" si="45"/>
        <v>0</v>
      </c>
    </row>
    <row r="103" spans="2:31" x14ac:dyDescent="0.2">
      <c r="B103" s="313">
        <v>2049</v>
      </c>
      <c r="C103" s="314">
        <f t="shared" si="43"/>
        <v>139788.33333333334</v>
      </c>
      <c r="D103" s="315">
        <f t="shared" si="43"/>
        <v>12294.27053426018</v>
      </c>
      <c r="E103" s="315">
        <f t="shared" si="43"/>
        <v>16503.06939634775</v>
      </c>
      <c r="F103" s="315">
        <f t="shared" si="43"/>
        <v>26482.458006128392</v>
      </c>
      <c r="G103" s="315">
        <f t="shared" si="43"/>
        <v>26503.109366129676</v>
      </c>
      <c r="H103" s="316">
        <f t="shared" si="43"/>
        <v>0</v>
      </c>
      <c r="I103" s="317">
        <f>D103*I60</f>
        <v>0</v>
      </c>
      <c r="J103" s="318">
        <f>E103*J60</f>
        <v>0</v>
      </c>
      <c r="K103" s="318">
        <f>F103*K60</f>
        <v>0</v>
      </c>
      <c r="L103" s="318">
        <f>G103*L60</f>
        <v>0</v>
      </c>
      <c r="M103" s="319">
        <f>H103*M60</f>
        <v>0</v>
      </c>
      <c r="N103" s="372">
        <f t="shared" si="39"/>
        <v>7.3409536878659303</v>
      </c>
      <c r="O103" s="321">
        <f t="shared" si="44"/>
        <v>12.135178847442406</v>
      </c>
      <c r="P103" s="321">
        <f t="shared" si="44"/>
        <v>14.365564731084826</v>
      </c>
      <c r="Q103" s="321">
        <f t="shared" si="44"/>
        <v>25.83580314553037</v>
      </c>
      <c r="R103" s="321">
        <f t="shared" si="44"/>
        <v>17.241217661126228</v>
      </c>
      <c r="S103" s="322">
        <f t="shared" si="44"/>
        <v>1</v>
      </c>
      <c r="T103" s="323">
        <v>1</v>
      </c>
      <c r="U103" s="324">
        <v>1</v>
      </c>
      <c r="V103" s="324">
        <v>1</v>
      </c>
      <c r="W103" s="324">
        <v>1</v>
      </c>
      <c r="X103" s="324">
        <v>1</v>
      </c>
      <c r="Y103" s="325">
        <f t="shared" si="41"/>
        <v>1</v>
      </c>
      <c r="Z103" s="323">
        <v>0</v>
      </c>
      <c r="AA103" s="324">
        <v>0</v>
      </c>
      <c r="AB103" s="324">
        <v>0</v>
      </c>
      <c r="AC103" s="324">
        <f t="shared" si="45"/>
        <v>323.69464685333429</v>
      </c>
      <c r="AD103" s="324">
        <f t="shared" si="45"/>
        <v>0</v>
      </c>
      <c r="AE103" s="325">
        <f t="shared" si="45"/>
        <v>0</v>
      </c>
    </row>
    <row r="104" spans="2:31" ht="15" thickBot="1" x14ac:dyDescent="0.25">
      <c r="B104" s="326">
        <v>2050</v>
      </c>
      <c r="C104" s="327">
        <f t="shared" si="43"/>
        <v>139788.33333333334</v>
      </c>
      <c r="D104" s="328">
        <f t="shared" si="43"/>
        <v>12316.666666666657</v>
      </c>
      <c r="E104" s="328">
        <f t="shared" si="43"/>
        <v>16441.666666666657</v>
      </c>
      <c r="F104" s="328">
        <f t="shared" si="43"/>
        <v>22216.666666666657</v>
      </c>
      <c r="G104" s="328">
        <f t="shared" si="43"/>
        <v>24943.666666666657</v>
      </c>
      <c r="H104" s="329">
        <f t="shared" si="43"/>
        <v>0</v>
      </c>
      <c r="I104" s="330">
        <f>D104*I60</f>
        <v>0</v>
      </c>
      <c r="J104" s="331">
        <f>E104*J60</f>
        <v>0</v>
      </c>
      <c r="K104" s="331">
        <f>F104*K60</f>
        <v>0</v>
      </c>
      <c r="L104" s="331">
        <f>G104*L60</f>
        <v>0</v>
      </c>
      <c r="M104" s="332">
        <f>H104*M60</f>
        <v>0</v>
      </c>
      <c r="N104" s="374">
        <f t="shared" si="39"/>
        <v>7.341369864499236</v>
      </c>
      <c r="O104" s="334">
        <f t="shared" si="44"/>
        <v>12.22528619112768</v>
      </c>
      <c r="P104" s="334">
        <f t="shared" si="44"/>
        <v>14.514156498055417</v>
      </c>
      <c r="Q104" s="348">
        <f t="shared" si="44"/>
        <v>26.10145208734323</v>
      </c>
      <c r="R104" s="348">
        <f t="shared" si="44"/>
        <v>17.435782495723927</v>
      </c>
      <c r="S104" s="349">
        <f t="shared" si="44"/>
        <v>1</v>
      </c>
      <c r="T104" s="336">
        <v>1</v>
      </c>
      <c r="U104" s="337">
        <v>1</v>
      </c>
      <c r="V104" s="337">
        <v>1</v>
      </c>
      <c r="W104" s="337">
        <v>1</v>
      </c>
      <c r="X104" s="337">
        <v>1</v>
      </c>
      <c r="Y104" s="338">
        <f t="shared" si="41"/>
        <v>1</v>
      </c>
      <c r="Z104" s="336">
        <v>0</v>
      </c>
      <c r="AA104" s="337">
        <v>0</v>
      </c>
      <c r="AB104" s="337">
        <v>0</v>
      </c>
      <c r="AC104" s="337">
        <f t="shared" si="45"/>
        <v>325.53996619059751</v>
      </c>
      <c r="AD104" s="337">
        <f t="shared" si="45"/>
        <v>0</v>
      </c>
      <c r="AE104" s="338">
        <f t="shared" si="45"/>
        <v>0</v>
      </c>
    </row>
  </sheetData>
  <mergeCells count="8">
    <mergeCell ref="G4:H4"/>
    <mergeCell ref="O4:P4"/>
    <mergeCell ref="Z4:AA4"/>
    <mergeCell ref="C58:H58"/>
    <mergeCell ref="I58:M58"/>
    <mergeCell ref="N58:S58"/>
    <mergeCell ref="T58:Y58"/>
    <mergeCell ref="Z58:AE58"/>
  </mergeCells>
  <conditionalFormatting sqref="K6:N35">
    <cfRule type="expression" dxfId="57" priority="14">
      <formula>K6&lt;$J6</formula>
    </cfRule>
  </conditionalFormatting>
  <conditionalFormatting sqref="T74:T104">
    <cfRule type="expression" dxfId="56" priority="13">
      <formula>AND($G$8="N/A",$T74&gt;1)</formula>
    </cfRule>
  </conditionalFormatting>
  <conditionalFormatting sqref="V74:V104">
    <cfRule type="expression" dxfId="55" priority="11">
      <formula>AND($G$10="N/A",$V74&gt;1)</formula>
    </cfRule>
  </conditionalFormatting>
  <conditionalFormatting sqref="U74:U104">
    <cfRule type="expression" dxfId="54" priority="12">
      <formula>AND($G$9="N/A",$U74&gt;1)</formula>
    </cfRule>
  </conditionalFormatting>
  <conditionalFormatting sqref="W74:W104">
    <cfRule type="expression" dxfId="53" priority="10">
      <formula>AND($G$11="N/A",$W74&gt;1)</formula>
    </cfRule>
  </conditionalFormatting>
  <conditionalFormatting sqref="X74:X104">
    <cfRule type="expression" dxfId="52" priority="9">
      <formula>AND($G$12="N/A",$X74&gt;1)</formula>
    </cfRule>
  </conditionalFormatting>
  <conditionalFormatting sqref="Y74:Y104">
    <cfRule type="expression" dxfId="51" priority="8">
      <formula>AND($G$13="N/A",$Y74&gt;1)</formula>
    </cfRule>
  </conditionalFormatting>
  <conditionalFormatting sqref="Z59:AE59">
    <cfRule type="expression" dxfId="50" priority="7">
      <formula>INDEX($H$8:$H$13,MATCH(Z$20,$B$8:$B$13,0))=TRUE</formula>
    </cfRule>
  </conditionalFormatting>
  <conditionalFormatting sqref="T61:T73">
    <cfRule type="expression" dxfId="49" priority="6">
      <formula>AND($G$8="N/A",$T61&gt;1)</formula>
    </cfRule>
  </conditionalFormatting>
  <conditionalFormatting sqref="V61:V73">
    <cfRule type="expression" dxfId="48" priority="4">
      <formula>AND($G$10="N/A",$V61&gt;1)</formula>
    </cfRule>
  </conditionalFormatting>
  <conditionalFormatting sqref="U61:U73">
    <cfRule type="expression" dxfId="47" priority="5">
      <formula>AND($G$9="N/A",U61&gt;1)</formula>
    </cfRule>
  </conditionalFormatting>
  <conditionalFormatting sqref="W61:W73">
    <cfRule type="expression" dxfId="46" priority="3">
      <formula>AND($G$11="N/A",$W61&gt;1)</formula>
    </cfRule>
  </conditionalFormatting>
  <conditionalFormatting sqref="X61:X73">
    <cfRule type="expression" dxfId="45" priority="2">
      <formula>AND($G$12="N/A",$X61&gt;1)</formula>
    </cfRule>
  </conditionalFormatting>
  <conditionalFormatting sqref="Y61:Y73">
    <cfRule type="expression" dxfId="44" priority="1">
      <formula>AND($G$13="N/A",$Y61&gt;1)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36DB-409D-4CE8-951A-780BDCB01349}">
  <sheetPr codeName="Sheet11"/>
  <dimension ref="A1:AN104"/>
  <sheetViews>
    <sheetView zoomScaleNormal="100" workbookViewId="0">
      <selection activeCell="AJ6" sqref="AJ6"/>
    </sheetView>
  </sheetViews>
  <sheetFormatPr baseColWidth="10" defaultColWidth="9.1640625" defaultRowHeight="14" x14ac:dyDescent="0.2"/>
  <cols>
    <col min="1" max="8" width="9.1640625" style="22"/>
    <col min="9" max="9" width="9.1640625" style="191"/>
    <col min="10" max="27" width="9.1640625" style="22"/>
    <col min="28" max="28" width="9.1640625" style="191" customWidth="1"/>
    <col min="29" max="16384" width="9.1640625" style="22"/>
  </cols>
  <sheetData>
    <row r="1" spans="1:40" x14ac:dyDescent="0.2">
      <c r="C1" s="22" t="s">
        <v>113</v>
      </c>
      <c r="J1" s="22" t="s">
        <v>131</v>
      </c>
      <c r="K1" s="22" t="s">
        <v>133</v>
      </c>
      <c r="Q1" s="192" t="s">
        <v>137</v>
      </c>
      <c r="R1" s="193"/>
      <c r="V1" s="22" t="s">
        <v>136</v>
      </c>
      <c r="AC1" s="22" t="s">
        <v>218</v>
      </c>
    </row>
    <row r="2" spans="1:40" x14ac:dyDescent="0.2">
      <c r="C2" s="22" t="s">
        <v>296</v>
      </c>
      <c r="J2" s="22" t="s">
        <v>298</v>
      </c>
      <c r="Q2" s="192"/>
      <c r="R2" s="193"/>
      <c r="AC2" s="22">
        <f>'Class 8 Box Truck'!D83</f>
        <v>81898</v>
      </c>
    </row>
    <row r="3" spans="1:40" x14ac:dyDescent="0.2">
      <c r="C3" s="177">
        <f>Constant!$D$18</f>
        <v>1.0024411160324416</v>
      </c>
      <c r="D3" s="177">
        <f>Constant!$D$18</f>
        <v>1.0024411160324416</v>
      </c>
      <c r="E3" s="177">
        <v>1</v>
      </c>
      <c r="F3" s="177">
        <f>Constant!$D$18</f>
        <v>1.0024411160324416</v>
      </c>
      <c r="G3" s="177"/>
      <c r="Q3" s="192"/>
      <c r="R3" s="193" t="s">
        <v>191</v>
      </c>
      <c r="AC3" s="194"/>
      <c r="AD3" s="22" t="s">
        <v>190</v>
      </c>
      <c r="AJ3" s="22" t="s">
        <v>222</v>
      </c>
    </row>
    <row r="4" spans="1:40" x14ac:dyDescent="0.2">
      <c r="B4" s="22" t="s">
        <v>303</v>
      </c>
      <c r="C4" s="22" t="s">
        <v>115</v>
      </c>
      <c r="D4" s="22" t="s">
        <v>86</v>
      </c>
      <c r="E4" s="22" t="s">
        <v>80</v>
      </c>
      <c r="F4" s="22" t="s">
        <v>116</v>
      </c>
      <c r="G4" s="377" t="s">
        <v>117</v>
      </c>
      <c r="H4" s="377"/>
      <c r="I4" s="195" t="s">
        <v>304</v>
      </c>
      <c r="J4" s="22" t="s">
        <v>49</v>
      </c>
      <c r="K4" s="22" t="s">
        <v>134</v>
      </c>
      <c r="L4" s="22" t="s">
        <v>86</v>
      </c>
      <c r="M4" s="22" t="s">
        <v>80</v>
      </c>
      <c r="N4" s="22" t="s">
        <v>116</v>
      </c>
      <c r="O4" s="377" t="s">
        <v>117</v>
      </c>
      <c r="P4" s="377"/>
      <c r="Q4" s="196" t="s">
        <v>80</v>
      </c>
      <c r="R4" s="197" t="s">
        <v>116</v>
      </c>
      <c r="S4" s="198" t="s">
        <v>117</v>
      </c>
      <c r="V4" s="22" t="s">
        <v>134</v>
      </c>
      <c r="W4" s="22" t="s">
        <v>86</v>
      </c>
      <c r="X4" s="22" t="s">
        <v>80</v>
      </c>
      <c r="Y4" s="22" t="s">
        <v>116</v>
      </c>
      <c r="Z4" s="377" t="s">
        <v>117</v>
      </c>
      <c r="AA4" s="377"/>
      <c r="AB4" s="195"/>
      <c r="AC4" s="22" t="s">
        <v>49</v>
      </c>
      <c r="AD4" s="22" t="s">
        <v>134</v>
      </c>
      <c r="AE4" s="22" t="s">
        <v>86</v>
      </c>
      <c r="AF4" s="22" t="s">
        <v>80</v>
      </c>
      <c r="AG4" s="22" t="s">
        <v>116</v>
      </c>
      <c r="AH4" s="199" t="s">
        <v>117</v>
      </c>
      <c r="AI4" s="199"/>
      <c r="AJ4" s="22" t="s">
        <v>134</v>
      </c>
      <c r="AK4" s="22" t="s">
        <v>86</v>
      </c>
      <c r="AL4" s="22" t="s">
        <v>80</v>
      </c>
      <c r="AM4" s="22" t="s">
        <v>116</v>
      </c>
      <c r="AN4" s="199" t="s">
        <v>117</v>
      </c>
    </row>
    <row r="5" spans="1:40" x14ac:dyDescent="0.2">
      <c r="C5" s="198"/>
      <c r="D5" s="198"/>
      <c r="E5" s="198"/>
      <c r="F5" s="198"/>
      <c r="G5" s="198" t="s">
        <v>118</v>
      </c>
      <c r="H5" s="198" t="s">
        <v>119</v>
      </c>
      <c r="I5" s="195" t="s">
        <v>205</v>
      </c>
      <c r="J5" s="195" t="s">
        <v>201</v>
      </c>
      <c r="K5" s="198"/>
      <c r="L5" s="198"/>
      <c r="M5" s="198"/>
      <c r="N5" s="198"/>
      <c r="O5" s="198" t="s">
        <v>118</v>
      </c>
      <c r="P5" s="198" t="s">
        <v>119</v>
      </c>
      <c r="Q5" s="196" t="s">
        <v>119</v>
      </c>
      <c r="R5" s="197"/>
      <c r="S5" s="198" t="s">
        <v>119</v>
      </c>
      <c r="V5" s="198"/>
      <c r="W5" s="198"/>
      <c r="X5" s="198"/>
      <c r="Y5" s="198"/>
      <c r="Z5" s="198"/>
      <c r="AA5" s="198"/>
      <c r="AB5" s="195"/>
      <c r="AC5" s="217" t="s">
        <v>131</v>
      </c>
      <c r="AD5" s="198"/>
      <c r="AE5" s="198"/>
      <c r="AF5" s="198"/>
      <c r="AG5" s="198"/>
      <c r="AH5" s="198"/>
      <c r="AI5" s="198"/>
    </row>
    <row r="6" spans="1:40" x14ac:dyDescent="0.2">
      <c r="A6" s="200">
        <v>2021</v>
      </c>
      <c r="B6" s="201">
        <f>Constant!U37</f>
        <v>5.1984163708528346</v>
      </c>
      <c r="C6" s="201">
        <f>C$3*'Class 8 Box Truck'!$D78</f>
        <v>5.2550520296548653</v>
      </c>
      <c r="D6" s="201">
        <f>D$3*'Class 8 Box Truck'!$N78</f>
        <v>7.700486326680875</v>
      </c>
      <c r="E6" s="201">
        <f>E3*'Class 8 Box Truck'!$I78</f>
        <v>19.538085110521639</v>
      </c>
      <c r="F6" s="201">
        <f>F$3*'Class 8 Box Truck'!$S78</f>
        <v>12.527007675823498</v>
      </c>
      <c r="G6" s="201"/>
      <c r="H6" s="201"/>
      <c r="I6" s="201">
        <f>Constant!U51</f>
        <v>5.8566556358249686</v>
      </c>
      <c r="J6" s="203">
        <v>6.1940987651005122</v>
      </c>
      <c r="K6" s="203">
        <f>C6/B6*J6</f>
        <v>6.2615821752815934</v>
      </c>
      <c r="L6" s="203">
        <f>$K6*D6/$C6</f>
        <v>9.1754044778337533</v>
      </c>
      <c r="M6" s="203">
        <f>$K6*E6/$C6</f>
        <v>23.280326203585055</v>
      </c>
      <c r="N6" s="203">
        <f>$K6*F6/$C6</f>
        <v>14.926377042494044</v>
      </c>
      <c r="Q6" s="204">
        <f>'Class 8 Box Truck'!I73</f>
        <v>275.10009767549849</v>
      </c>
      <c r="R6" s="205"/>
      <c r="S6" s="200"/>
      <c r="U6" s="200">
        <v>2021</v>
      </c>
      <c r="V6" s="206">
        <f>'Class 8 Box Truck'!D$83</f>
        <v>81898</v>
      </c>
      <c r="W6" s="206">
        <f>'Class 8 Box Truck'!$N$83</f>
        <v>88662</v>
      </c>
      <c r="X6" s="206">
        <f>'Class 8 Box Truck'!$I$83</f>
        <v>404554</v>
      </c>
      <c r="Y6" s="206">
        <f>'Class 8 Box Truck'!$S$83</f>
        <v>192783</v>
      </c>
      <c r="Z6" s="201"/>
      <c r="AA6" s="201"/>
      <c r="AB6" s="202"/>
      <c r="AC6" s="218">
        <f>AC2</f>
        <v>81898</v>
      </c>
      <c r="AD6" s="206">
        <f t="shared" ref="AD6" si="0">V6-$AC6</f>
        <v>0</v>
      </c>
      <c r="AE6" s="206">
        <f>W6-$AC6</f>
        <v>6764</v>
      </c>
      <c r="AF6" s="206">
        <f>X6-$AC6</f>
        <v>322656</v>
      </c>
      <c r="AG6" s="206">
        <f>Y6-$AC6</f>
        <v>110885</v>
      </c>
      <c r="AH6" s="200"/>
      <c r="AJ6" s="212">
        <f>AD6/(100000*(1/$J6-1/K6))</f>
        <v>0</v>
      </c>
      <c r="AK6" s="212">
        <f>AE6/(100000*(1/$J6-1/L6))</f>
        <v>1.2894378991444466</v>
      </c>
      <c r="AL6" s="212">
        <f>AF6/(100000*(1/$J6-1/M6))</f>
        <v>27.230821899799039</v>
      </c>
      <c r="AM6" s="212">
        <f>AG6/(100000*(1/$J6-1/N6))</f>
        <v>11.740261415716974</v>
      </c>
      <c r="AN6" s="212"/>
    </row>
    <row r="7" spans="1:40" x14ac:dyDescent="0.2">
      <c r="A7" s="22">
        <v>2022</v>
      </c>
      <c r="B7" s="203">
        <f>B6</f>
        <v>5.1984163708528346</v>
      </c>
      <c r="C7" s="203">
        <f t="shared" ref="C7:F11" si="1">C$6+(C$12-C$6)/(1+EXP(-($A7-$A$6-($A$12-$A$6)*$C$42)/$C$39))</f>
        <v>5.3821460886379846</v>
      </c>
      <c r="D7" s="203">
        <f t="shared" si="1"/>
        <v>7.8774018005086601</v>
      </c>
      <c r="E7" s="203">
        <f t="shared" si="1"/>
        <v>19.861820499425949</v>
      </c>
      <c r="F7" s="203">
        <f t="shared" si="1"/>
        <v>12.776697847876351</v>
      </c>
      <c r="G7" s="203"/>
      <c r="H7" s="203"/>
      <c r="I7" s="202">
        <f>I6</f>
        <v>5.8566556358249686</v>
      </c>
      <c r="J7" s="203">
        <v>6.3185291641470567</v>
      </c>
      <c r="K7" s="203">
        <f t="shared" ref="K7:K35" si="2">K6*C7/C6</f>
        <v>6.4130192856702335</v>
      </c>
      <c r="L7" s="203">
        <f t="shared" ref="L7:N35" si="3">$K7*D7/$C7</f>
        <v>9.3862055833604501</v>
      </c>
      <c r="M7" s="203">
        <f t="shared" si="3"/>
        <v>23.66606848153625</v>
      </c>
      <c r="N7" s="203">
        <f t="shared" si="3"/>
        <v>15.2238918000733</v>
      </c>
      <c r="Q7" s="208">
        <f>Q6+(Q$12-Q$6)/($A$12-$A$6)</f>
        <v>275.49860386699038</v>
      </c>
      <c r="R7" s="209"/>
      <c r="U7" s="22">
        <v>2022</v>
      </c>
      <c r="V7" s="186">
        <f>V6+(V$12-V$6)/($A$12-$A$6)</f>
        <v>82083.833333333328</v>
      </c>
      <c r="W7" s="186">
        <f>W6+(W$12-W$6)/($A$12-$A$6)</f>
        <v>88571</v>
      </c>
      <c r="X7" s="186">
        <f>X6+(X$12-X$6)/($A$12-$A$6)</f>
        <v>381834.66666666669</v>
      </c>
      <c r="Y7" s="186">
        <f>Y6+(Y$12-Y$6)/($A$12-$A$6)</f>
        <v>185637</v>
      </c>
      <c r="Z7" s="203"/>
      <c r="AA7" s="203"/>
      <c r="AB7" s="202"/>
      <c r="AC7" s="207">
        <f t="shared" ref="AC7:AG11" si="4">AC$6+(AC$12-AC$6)*(J7-J$6)/(J$12-J$6)</f>
        <v>82009.100849793598</v>
      </c>
      <c r="AD7" s="186">
        <f t="shared" si="4"/>
        <v>23.830102902613042</v>
      </c>
      <c r="AE7" s="186">
        <f t="shared" si="4"/>
        <v>6574.8338647614382</v>
      </c>
      <c r="AF7" s="186">
        <f t="shared" si="4"/>
        <v>305056.53931182483</v>
      </c>
      <c r="AG7" s="186">
        <f t="shared" si="4"/>
        <v>105267.69975247007</v>
      </c>
      <c r="AJ7" s="212">
        <f t="shared" ref="AJ7:AM35" si="5">AD7/(100000*(1/$J7-1/K7))</f>
        <v>0.10219227100375373</v>
      </c>
      <c r="AK7" s="212">
        <f t="shared" si="5"/>
        <v>1.2711046046977734</v>
      </c>
      <c r="AL7" s="212">
        <f t="shared" si="5"/>
        <v>26.295689922824334</v>
      </c>
      <c r="AM7" s="212">
        <f t="shared" si="5"/>
        <v>11.370647782752194</v>
      </c>
    </row>
    <row r="8" spans="1:40" x14ac:dyDescent="0.2">
      <c r="A8" s="22">
        <v>2023</v>
      </c>
      <c r="B8" s="203">
        <f>B7</f>
        <v>5.1984163708528346</v>
      </c>
      <c r="C8" s="203">
        <f t="shared" si="1"/>
        <v>5.5056803268119463</v>
      </c>
      <c r="D8" s="203">
        <f t="shared" si="1"/>
        <v>8.0493619885407668</v>
      </c>
      <c r="E8" s="203">
        <f t="shared" si="1"/>
        <v>20.176488273499928</v>
      </c>
      <c r="F8" s="203">
        <f t="shared" si="1"/>
        <v>13.019394362810786</v>
      </c>
      <c r="G8" s="203"/>
      <c r="H8" s="203"/>
      <c r="I8" s="202">
        <f>I7</f>
        <v>5.8566556358249686</v>
      </c>
      <c r="J8" s="203">
        <v>6.4751097824714527</v>
      </c>
      <c r="K8" s="203">
        <f t="shared" si="2"/>
        <v>6.5602147424272754</v>
      </c>
      <c r="L8" s="203">
        <f t="shared" si="3"/>
        <v>9.5911022888856703</v>
      </c>
      <c r="M8" s="203">
        <f t="shared" si="3"/>
        <v>24.041006372571086</v>
      </c>
      <c r="N8" s="203">
        <f t="shared" si="3"/>
        <v>15.513073365420471</v>
      </c>
      <c r="Q8" s="208">
        <f t="shared" ref="Q8:Q11" si="6">Q7+(Q$12-Q$6)/($A$12-$A$6)</f>
        <v>275.89711005848221</v>
      </c>
      <c r="R8" s="209"/>
      <c r="U8" s="22">
        <v>2023</v>
      </c>
      <c r="V8" s="186">
        <f t="shared" ref="V8:Y11" si="7">V7+(V$12-V$6)/($A$12-$A$6)</f>
        <v>82269.666666666657</v>
      </c>
      <c r="W8" s="186">
        <f t="shared" si="7"/>
        <v>88480</v>
      </c>
      <c r="X8" s="186">
        <f>X7+(X$12-X$6)/($A$12-$A$6)</f>
        <v>359115.33333333337</v>
      </c>
      <c r="Y8" s="186">
        <f t="shared" si="7"/>
        <v>178491</v>
      </c>
      <c r="Z8" s="203"/>
      <c r="AA8" s="203"/>
      <c r="AB8" s="202"/>
      <c r="AC8" s="207">
        <f t="shared" si="4"/>
        <v>82148.907841415799</v>
      </c>
      <c r="AD8" s="186">
        <f t="shared" si="4"/>
        <v>46.992740332206807</v>
      </c>
      <c r="AE8" s="186">
        <f t="shared" si="4"/>
        <v>6390.9661482687898</v>
      </c>
      <c r="AF8" s="186">
        <f t="shared" si="4"/>
        <v>287950.02791560767</v>
      </c>
      <c r="AG8" s="186">
        <f t="shared" si="4"/>
        <v>99807.736381836206</v>
      </c>
      <c r="AJ8" s="212">
        <f t="shared" si="5"/>
        <v>0.23455305364025247</v>
      </c>
      <c r="AK8" s="212">
        <f t="shared" si="5"/>
        <v>1.2737546176590187</v>
      </c>
      <c r="AL8" s="212">
        <f t="shared" si="5"/>
        <v>25.517997048658408</v>
      </c>
      <c r="AM8" s="212">
        <f t="shared" si="5"/>
        <v>11.092734063942284</v>
      </c>
    </row>
    <row r="9" spans="1:40" x14ac:dyDescent="0.2">
      <c r="A9" s="22">
        <v>2024</v>
      </c>
      <c r="B9" s="201">
        <f>Constant!V37</f>
        <v>5.6015050949374041</v>
      </c>
      <c r="C9" s="203">
        <f t="shared" si="1"/>
        <v>5.688984368096369</v>
      </c>
      <c r="D9" s="203">
        <f t="shared" si="1"/>
        <v>8.3045219982048604</v>
      </c>
      <c r="E9" s="203">
        <f t="shared" si="1"/>
        <v>20.643402349324877</v>
      </c>
      <c r="F9" s="203">
        <f t="shared" si="1"/>
        <v>13.379515189641644</v>
      </c>
      <c r="G9" s="203"/>
      <c r="H9" s="203"/>
      <c r="I9" s="201">
        <f>Constant!V51</f>
        <v>6.3166438137231244</v>
      </c>
      <c r="J9" s="203">
        <v>6.6492529214040559</v>
      </c>
      <c r="K9" s="203">
        <f t="shared" si="2"/>
        <v>6.7786280542435247</v>
      </c>
      <c r="L9" s="203">
        <f t="shared" si="3"/>
        <v>9.8951345533316424</v>
      </c>
      <c r="M9" s="203">
        <f t="shared" si="3"/>
        <v>24.597351169554116</v>
      </c>
      <c r="N9" s="203">
        <f t="shared" si="3"/>
        <v>15.942170192151579</v>
      </c>
      <c r="Q9" s="208">
        <f t="shared" si="6"/>
        <v>276.29561624997405</v>
      </c>
      <c r="R9" s="209"/>
      <c r="U9" s="22">
        <v>2024</v>
      </c>
      <c r="V9" s="186">
        <f t="shared" si="7"/>
        <v>82455.499999999985</v>
      </c>
      <c r="W9" s="186">
        <f t="shared" si="7"/>
        <v>88389</v>
      </c>
      <c r="X9" s="186">
        <f>X8+(X$12-X$6)/($A$12-$A$6)</f>
        <v>336396.00000000006</v>
      </c>
      <c r="Y9" s="186">
        <f t="shared" si="7"/>
        <v>171345</v>
      </c>
      <c r="Z9" s="203"/>
      <c r="AA9" s="203"/>
      <c r="AB9" s="202"/>
      <c r="AC9" s="207">
        <f t="shared" si="4"/>
        <v>82304.395976705782</v>
      </c>
      <c r="AD9" s="186">
        <f t="shared" si="4"/>
        <v>81.362200252066472</v>
      </c>
      <c r="AE9" s="186">
        <f t="shared" si="4"/>
        <v>6118.1373682233771</v>
      </c>
      <c r="AF9" s="186">
        <f t="shared" si="4"/>
        <v>262566.84089348803</v>
      </c>
      <c r="AG9" s="186">
        <f t="shared" si="4"/>
        <v>91706.068650719186</v>
      </c>
      <c r="AJ9" s="212">
        <f t="shared" si="5"/>
        <v>0.28345657371238375</v>
      </c>
      <c r="AK9" s="212">
        <f t="shared" si="5"/>
        <v>1.240169659951909</v>
      </c>
      <c r="AL9" s="212">
        <f t="shared" si="5"/>
        <v>23.926690670587568</v>
      </c>
      <c r="AM9" s="212">
        <f t="shared" si="5"/>
        <v>10.460833726574483</v>
      </c>
    </row>
    <row r="10" spans="1:40" x14ac:dyDescent="0.2">
      <c r="A10" s="22">
        <v>2025</v>
      </c>
      <c r="B10" s="203">
        <f>B9</f>
        <v>5.6015050949374041</v>
      </c>
      <c r="C10" s="203">
        <f t="shared" si="1"/>
        <v>5.8911817683285665</v>
      </c>
      <c r="D10" s="203">
        <f t="shared" si="1"/>
        <v>8.5859816443522607</v>
      </c>
      <c r="E10" s="203">
        <f t="shared" si="1"/>
        <v>21.158441797457581</v>
      </c>
      <c r="F10" s="203">
        <f t="shared" si="1"/>
        <v>13.776754085437101</v>
      </c>
      <c r="G10" s="203"/>
      <c r="H10" s="203"/>
      <c r="I10" s="202">
        <f>I9</f>
        <v>6.3166438137231244</v>
      </c>
      <c r="J10" s="203">
        <v>6.8393988538764896</v>
      </c>
      <c r="K10" s="203">
        <f t="shared" si="2"/>
        <v>7.0195534780143252</v>
      </c>
      <c r="L10" s="203">
        <f t="shared" si="3"/>
        <v>10.230503773927802</v>
      </c>
      <c r="M10" s="203">
        <f t="shared" si="3"/>
        <v>25.211039066419026</v>
      </c>
      <c r="N10" s="203">
        <f t="shared" si="3"/>
        <v>16.415494523710052</v>
      </c>
      <c r="Q10" s="208">
        <f t="shared" si="6"/>
        <v>276.69412244146588</v>
      </c>
      <c r="R10" s="209"/>
      <c r="U10" s="22">
        <v>2025</v>
      </c>
      <c r="V10" s="186">
        <f t="shared" si="7"/>
        <v>82641.333333333314</v>
      </c>
      <c r="W10" s="186">
        <f t="shared" si="7"/>
        <v>88298</v>
      </c>
      <c r="X10" s="186">
        <f>X9+(X$12-X$6)/($A$12-$A$6)</f>
        <v>313676.66666666674</v>
      </c>
      <c r="Y10" s="186">
        <f t="shared" si="7"/>
        <v>164199</v>
      </c>
      <c r="Z10" s="203"/>
      <c r="AA10" s="203"/>
      <c r="AB10" s="202"/>
      <c r="AC10" s="207">
        <f t="shared" si="4"/>
        <v>82474.172613639836</v>
      </c>
      <c r="AD10" s="186">
        <f t="shared" si="4"/>
        <v>119.27416004567138</v>
      </c>
      <c r="AE10" s="186">
        <f t="shared" si="4"/>
        <v>5817.1878111532897</v>
      </c>
      <c r="AF10" s="186">
        <f t="shared" si="4"/>
        <v>234567.37950945646</v>
      </c>
      <c r="AG10" s="186">
        <f t="shared" si="4"/>
        <v>82769.352682547236</v>
      </c>
      <c r="AJ10" s="212">
        <f t="shared" si="5"/>
        <v>0.31785450507900659</v>
      </c>
      <c r="AK10" s="212">
        <f t="shared" si="5"/>
        <v>1.2002917185481885</v>
      </c>
      <c r="AL10" s="212">
        <f t="shared" si="5"/>
        <v>22.0154902570047</v>
      </c>
      <c r="AM10" s="212">
        <f t="shared" si="5"/>
        <v>9.7040490782182101</v>
      </c>
    </row>
    <row r="11" spans="1:40" x14ac:dyDescent="0.2">
      <c r="A11" s="22">
        <v>2026</v>
      </c>
      <c r="B11" s="203">
        <f>B10</f>
        <v>5.6015050949374041</v>
      </c>
      <c r="C11" s="203">
        <f t="shared" si="1"/>
        <v>6.0527145485089395</v>
      </c>
      <c r="D11" s="203">
        <f t="shared" si="1"/>
        <v>8.8108359654195088</v>
      </c>
      <c r="E11" s="203">
        <f t="shared" si="1"/>
        <v>21.569899876858706</v>
      </c>
      <c r="F11" s="203">
        <f t="shared" si="1"/>
        <v>14.094102889921896</v>
      </c>
      <c r="G11" s="203"/>
      <c r="H11" s="203"/>
      <c r="I11" s="202">
        <f>I10</f>
        <v>6.3166438137231244</v>
      </c>
      <c r="J11" s="203">
        <v>7.029765080205796</v>
      </c>
      <c r="K11" s="203">
        <f t="shared" si="2"/>
        <v>7.2120255546737706</v>
      </c>
      <c r="L11" s="203">
        <f t="shared" si="3"/>
        <v>10.498425728055857</v>
      </c>
      <c r="M11" s="203">
        <f t="shared" si="3"/>
        <v>25.701306063075751</v>
      </c>
      <c r="N11" s="203">
        <f t="shared" si="3"/>
        <v>16.79362695823124</v>
      </c>
      <c r="Q11" s="208">
        <f t="shared" si="6"/>
        <v>277.09262863295771</v>
      </c>
      <c r="R11" s="209"/>
      <c r="U11" s="22">
        <v>2026</v>
      </c>
      <c r="V11" s="186">
        <f t="shared" si="7"/>
        <v>82827.166666666642</v>
      </c>
      <c r="W11" s="186">
        <f t="shared" si="7"/>
        <v>88207</v>
      </c>
      <c r="X11" s="186">
        <f>X10+(X$12-X$6)/($A$12-$A$6)</f>
        <v>290957.33333333343</v>
      </c>
      <c r="Y11" s="186">
        <f t="shared" si="7"/>
        <v>157053</v>
      </c>
      <c r="Z11" s="203"/>
      <c r="AA11" s="203"/>
      <c r="AB11" s="202"/>
      <c r="AC11" s="207">
        <f t="shared" si="4"/>
        <v>82644.145945552678</v>
      </c>
      <c r="AD11" s="186">
        <f t="shared" si="4"/>
        <v>149.561514188281</v>
      </c>
      <c r="AE11" s="186">
        <f t="shared" si="4"/>
        <v>5576.7632627082685</v>
      </c>
      <c r="AF11" s="186">
        <f t="shared" si="4"/>
        <v>212198.98686087714</v>
      </c>
      <c r="AG11" s="186">
        <f t="shared" si="4"/>
        <v>75629.930640704086</v>
      </c>
      <c r="AJ11" s="212">
        <f t="shared" si="5"/>
        <v>0.41603074435224319</v>
      </c>
      <c r="AK11" s="212">
        <f t="shared" si="5"/>
        <v>1.1865482079190142</v>
      </c>
      <c r="AL11" s="212">
        <f t="shared" si="5"/>
        <v>20.533318764647536</v>
      </c>
      <c r="AM11" s="212">
        <f t="shared" si="5"/>
        <v>9.1444457729640725</v>
      </c>
    </row>
    <row r="12" spans="1:40" x14ac:dyDescent="0.2">
      <c r="A12" s="200">
        <v>2027</v>
      </c>
      <c r="B12" s="201">
        <f>Constant!W37</f>
        <v>5.8625446189785695</v>
      </c>
      <c r="C12" s="201">
        <f>C$3*'Class 8 Box Truck'!$E78</f>
        <v>6.2461645197780076</v>
      </c>
      <c r="D12" s="201">
        <f>D$3*'Class 8 Box Truck'!$O78</f>
        <v>9.0801191530277059</v>
      </c>
      <c r="E12" s="201">
        <f>E$3*'Class 8 Box Truck'!$J78</f>
        <v>22.062657777451349</v>
      </c>
      <c r="F12" s="201">
        <f>F$3*'Class 8 Box Truck'!$T78</f>
        <v>14.474156505301421</v>
      </c>
      <c r="G12" s="201"/>
      <c r="H12" s="201"/>
      <c r="I12" s="201">
        <f>Constant!W51</f>
        <v>6.5940740122454322</v>
      </c>
      <c r="J12" s="203">
        <v>7.2347440826554212</v>
      </c>
      <c r="K12" s="202">
        <f t="shared" si="2"/>
        <v>7.4425281044242979</v>
      </c>
      <c r="L12" s="203">
        <f t="shared" si="3"/>
        <v>10.81928626342552</v>
      </c>
      <c r="M12" s="203">
        <f t="shared" si="3"/>
        <v>26.288444700270691</v>
      </c>
      <c r="N12" s="203">
        <f t="shared" si="3"/>
        <v>17.246474414409146</v>
      </c>
      <c r="Q12" s="204">
        <f>'Class 8 Box Truck'!J73</f>
        <v>277.49113482444966</v>
      </c>
      <c r="R12" s="205"/>
      <c r="S12" s="200"/>
      <c r="U12" s="200">
        <v>2027</v>
      </c>
      <c r="V12" s="206">
        <f>'Class 8 Box Truck'!E$83</f>
        <v>83013</v>
      </c>
      <c r="W12" s="206">
        <f>'Class 8 Box Truck'!$O$83</f>
        <v>88116</v>
      </c>
      <c r="X12" s="206">
        <f>'Class 8 Box Truck'!$J$83</f>
        <v>268238</v>
      </c>
      <c r="Y12" s="206">
        <f>'Class 8 Box Truck'!$T$83</f>
        <v>149907</v>
      </c>
      <c r="Z12" s="201"/>
      <c r="AA12" s="201"/>
      <c r="AB12" s="202"/>
      <c r="AC12" s="218">
        <f t="shared" ref="AC12:AC35" si="8">INDEX($V$6:$V$35,MATCH($J12,$K$6:$K$35,1))</f>
        <v>82827.166666666642</v>
      </c>
      <c r="AD12" s="206">
        <f t="shared" ref="AD12" si="9">V12-$AC12</f>
        <v>185.83333333335759</v>
      </c>
      <c r="AE12" s="206">
        <f>W12-$AC12</f>
        <v>5288.8333333333576</v>
      </c>
      <c r="AF12" s="206">
        <f>X12-$AC12</f>
        <v>185410.83333333337</v>
      </c>
      <c r="AG12" s="206">
        <f>Y12-$AC12</f>
        <v>67079.833333333358</v>
      </c>
      <c r="AH12" s="200"/>
      <c r="AJ12" s="212">
        <f t="shared" si="5"/>
        <v>0.48156523346686825</v>
      </c>
      <c r="AK12" s="212">
        <f t="shared" si="5"/>
        <v>1.1549095461410963</v>
      </c>
      <c r="AL12" s="212">
        <f t="shared" si="5"/>
        <v>18.50733281189293</v>
      </c>
      <c r="AM12" s="212">
        <f t="shared" si="5"/>
        <v>8.3600010760439236</v>
      </c>
    </row>
    <row r="13" spans="1:40" x14ac:dyDescent="0.2">
      <c r="A13" s="22">
        <v>2028</v>
      </c>
      <c r="B13" s="203">
        <f t="shared" ref="B13:B35" si="10">B12</f>
        <v>5.8625446189785695</v>
      </c>
      <c r="C13" s="203">
        <f t="shared" ref="C13:F19" si="11">C$12+(C$20-C$12)/(1+EXP(-($A13-$A$12-($A$20-$A$12)*$C$43)/$C$40))</f>
        <v>6.4088392623999306</v>
      </c>
      <c r="D13" s="203">
        <f t="shared" si="11"/>
        <v>9.4845499782126499</v>
      </c>
      <c r="E13" s="203">
        <f t="shared" si="11"/>
        <v>22.937281422970518</v>
      </c>
      <c r="F13" s="203">
        <f t="shared" si="11"/>
        <v>15.007055337552845</v>
      </c>
      <c r="G13" s="203"/>
      <c r="H13" s="203"/>
      <c r="I13" s="202">
        <f>I12</f>
        <v>6.5940740122454322</v>
      </c>
      <c r="J13" s="203">
        <v>7.3264307414802223</v>
      </c>
      <c r="K13" s="203">
        <f t="shared" si="2"/>
        <v>7.6363608701175529</v>
      </c>
      <c r="L13" s="203">
        <f t="shared" si="3"/>
        <v>11.301180035708263</v>
      </c>
      <c r="M13" s="203">
        <f t="shared" si="3"/>
        <v>27.330590010718229</v>
      </c>
      <c r="N13" s="203">
        <f t="shared" si="3"/>
        <v>17.881442405291828</v>
      </c>
      <c r="Q13" s="208">
        <f>Q12+(Q$20-Q$12)/($A$20-$A$12)</f>
        <v>278.82633234864386</v>
      </c>
      <c r="R13" s="209"/>
      <c r="U13" s="22">
        <v>2028</v>
      </c>
      <c r="V13" s="186">
        <f>V12+(V$20-V$12)/($A$20-$A$12)</f>
        <v>83442.375</v>
      </c>
      <c r="W13" s="186">
        <f>W12+(W$20-W$12)/($A$20-$A$12)</f>
        <v>88404.125</v>
      </c>
      <c r="X13" s="186">
        <f>X12+(X$20-X$12)/($A$20-$A$12)</f>
        <v>257823.625</v>
      </c>
      <c r="Y13" s="186">
        <f>Y12+(Y$20-Y$12)/($A$20-$A$12)</f>
        <v>148463.875</v>
      </c>
      <c r="Z13" s="203"/>
      <c r="AA13" s="203"/>
      <c r="AB13" s="202"/>
      <c r="AC13" s="186">
        <f t="shared" ref="AC13:AG19" si="12">AC$12+(AC$20-AC$12)*(J13-J$12)/(J$20-J$12)</f>
        <v>83037.8505026809</v>
      </c>
      <c r="AD13" s="186">
        <f t="shared" si="12"/>
        <v>926.20631570770945</v>
      </c>
      <c r="AE13" s="186">
        <f t="shared" si="12"/>
        <v>5602.5853599658076</v>
      </c>
      <c r="AF13" s="186">
        <f t="shared" si="12"/>
        <v>153399.55329746869</v>
      </c>
      <c r="AG13" s="186">
        <f t="shared" si="12"/>
        <v>62164.647097111483</v>
      </c>
      <c r="AJ13" s="212">
        <f t="shared" si="5"/>
        <v>1.6719482598140416</v>
      </c>
      <c r="AK13" s="212">
        <f t="shared" si="5"/>
        <v>1.1670648344330443</v>
      </c>
      <c r="AL13" s="212">
        <f t="shared" si="5"/>
        <v>15.35483829180283</v>
      </c>
      <c r="AM13" s="212">
        <f t="shared" si="5"/>
        <v>7.7157784996585379</v>
      </c>
    </row>
    <row r="14" spans="1:40" x14ac:dyDescent="0.2">
      <c r="A14" s="22">
        <v>2029</v>
      </c>
      <c r="B14" s="203">
        <f t="shared" si="10"/>
        <v>5.8625446189785695</v>
      </c>
      <c r="C14" s="203">
        <f t="shared" si="11"/>
        <v>6.4971824000427869</v>
      </c>
      <c r="D14" s="203">
        <f t="shared" si="11"/>
        <v>9.7041826481678459</v>
      </c>
      <c r="E14" s="203">
        <f t="shared" si="11"/>
        <v>23.41225987295261</v>
      </c>
      <c r="F14" s="203">
        <f t="shared" si="11"/>
        <v>15.296454626763463</v>
      </c>
      <c r="G14" s="203"/>
      <c r="H14" s="203"/>
      <c r="I14" s="202">
        <f t="shared" ref="I14:I35" si="13">I13</f>
        <v>6.5940740122454322</v>
      </c>
      <c r="J14" s="203">
        <v>7.5042230311669371</v>
      </c>
      <c r="K14" s="203">
        <f t="shared" si="2"/>
        <v>7.7416248737565976</v>
      </c>
      <c r="L14" s="203">
        <f t="shared" si="3"/>
        <v>11.562880206047257</v>
      </c>
      <c r="M14" s="203">
        <f t="shared" si="3"/>
        <v>27.896543797525187</v>
      </c>
      <c r="N14" s="203">
        <f t="shared" si="3"/>
        <v>18.226271994158786</v>
      </c>
      <c r="Q14" s="208">
        <f t="shared" ref="Q14:Q19" si="14">Q13+(Q$20-Q$12)/($A$20-$A$12)</f>
        <v>280.16152987283806</v>
      </c>
      <c r="R14" s="209"/>
      <c r="U14" s="22">
        <v>2029</v>
      </c>
      <c r="V14" s="186">
        <f t="shared" ref="V14:Y19" si="15">V13+(V$20-V$12)/($A$20-$A$12)</f>
        <v>83871.75</v>
      </c>
      <c r="W14" s="186">
        <f t="shared" si="15"/>
        <v>88692.25</v>
      </c>
      <c r="X14" s="186">
        <f t="shared" si="15"/>
        <v>247409.25</v>
      </c>
      <c r="Y14" s="186">
        <f t="shared" si="15"/>
        <v>147020.75</v>
      </c>
      <c r="Z14" s="203"/>
      <c r="AA14" s="203"/>
      <c r="AB14" s="202"/>
      <c r="AC14" s="186">
        <f t="shared" si="12"/>
        <v>83446.393709348864</v>
      </c>
      <c r="AD14" s="186">
        <f t="shared" si="12"/>
        <v>1328.2777819645421</v>
      </c>
      <c r="AE14" s="186">
        <f t="shared" si="12"/>
        <v>5772.9734486621273</v>
      </c>
      <c r="AF14" s="186">
        <f t="shared" si="12"/>
        <v>136015.3123713588</v>
      </c>
      <c r="AG14" s="186">
        <f t="shared" si="12"/>
        <v>59495.376089159094</v>
      </c>
      <c r="AJ14" s="212">
        <f t="shared" si="5"/>
        <v>3.2504439341403897</v>
      </c>
      <c r="AK14" s="212">
        <f t="shared" si="5"/>
        <v>1.2342096860752767</v>
      </c>
      <c r="AL14" s="212">
        <f t="shared" si="5"/>
        <v>13.962953214038878</v>
      </c>
      <c r="AM14" s="212">
        <f t="shared" si="5"/>
        <v>7.5894273533691781</v>
      </c>
    </row>
    <row r="15" spans="1:40" x14ac:dyDescent="0.2">
      <c r="A15" s="22">
        <v>2030</v>
      </c>
      <c r="B15" s="203">
        <f t="shared" si="10"/>
        <v>5.8625446189785695</v>
      </c>
      <c r="C15" s="203">
        <f t="shared" si="11"/>
        <v>6.5747286434059493</v>
      </c>
      <c r="D15" s="203">
        <f t="shared" si="11"/>
        <v>9.8969728176057998</v>
      </c>
      <c r="E15" s="203">
        <f t="shared" si="11"/>
        <v>23.829188628907286</v>
      </c>
      <c r="F15" s="203">
        <f t="shared" si="11"/>
        <v>15.550484858301967</v>
      </c>
      <c r="G15" s="203"/>
      <c r="H15" s="203"/>
      <c r="I15" s="202">
        <f t="shared" si="13"/>
        <v>6.5940740122454322</v>
      </c>
      <c r="J15" s="203">
        <v>7.665004330826771</v>
      </c>
      <c r="K15" s="203">
        <f t="shared" si="2"/>
        <v>7.8340239922549006</v>
      </c>
      <c r="L15" s="203">
        <f t="shared" si="3"/>
        <v>11.792596578351473</v>
      </c>
      <c r="M15" s="203">
        <f t="shared" si="3"/>
        <v>28.393329300678349</v>
      </c>
      <c r="N15" s="203">
        <f t="shared" si="3"/>
        <v>18.528958087618573</v>
      </c>
      <c r="Q15" s="208">
        <f t="shared" si="14"/>
        <v>281.49672739703226</v>
      </c>
      <c r="R15" s="209"/>
      <c r="U15" s="22">
        <v>2030</v>
      </c>
      <c r="V15" s="186">
        <f t="shared" si="15"/>
        <v>84301.125</v>
      </c>
      <c r="W15" s="186">
        <f t="shared" si="15"/>
        <v>88980.375</v>
      </c>
      <c r="X15" s="186">
        <f t="shared" si="15"/>
        <v>236994.875</v>
      </c>
      <c r="Y15" s="186">
        <f t="shared" si="15"/>
        <v>145577.625</v>
      </c>
      <c r="Z15" s="203"/>
      <c r="AA15" s="203"/>
      <c r="AB15" s="202"/>
      <c r="AC15" s="186">
        <f t="shared" si="12"/>
        <v>83815.84790700287</v>
      </c>
      <c r="AD15" s="186">
        <f t="shared" si="12"/>
        <v>1681.2099123330988</v>
      </c>
      <c r="AE15" s="186">
        <f t="shared" si="12"/>
        <v>5922.5374843617083</v>
      </c>
      <c r="AF15" s="186">
        <f t="shared" si="12"/>
        <v>120755.69387116659</v>
      </c>
      <c r="AG15" s="186">
        <f t="shared" si="12"/>
        <v>57152.331176924781</v>
      </c>
      <c r="AJ15" s="212">
        <f t="shared" si="5"/>
        <v>5.9728556137335591</v>
      </c>
      <c r="AK15" s="212">
        <f t="shared" si="5"/>
        <v>1.2969787969353281</v>
      </c>
      <c r="AL15" s="212">
        <f t="shared" si="5"/>
        <v>12.678624304967814</v>
      </c>
      <c r="AM15" s="212">
        <f t="shared" si="5"/>
        <v>7.4715282805209018</v>
      </c>
    </row>
    <row r="16" spans="1:40" x14ac:dyDescent="0.2">
      <c r="A16" s="22">
        <v>2031</v>
      </c>
      <c r="B16" s="203">
        <f t="shared" si="10"/>
        <v>5.8625446189785695</v>
      </c>
      <c r="C16" s="203">
        <f t="shared" si="11"/>
        <v>6.6256824096475135</v>
      </c>
      <c r="D16" s="203">
        <f t="shared" si="11"/>
        <v>10.023650588200159</v>
      </c>
      <c r="E16" s="203">
        <f t="shared" si="11"/>
        <v>24.10314245889246</v>
      </c>
      <c r="F16" s="203">
        <f t="shared" si="11"/>
        <v>15.717401996705247</v>
      </c>
      <c r="G16" s="203"/>
      <c r="H16" s="203"/>
      <c r="I16" s="202">
        <f t="shared" si="13"/>
        <v>6.5940740122454322</v>
      </c>
      <c r="J16" s="203">
        <v>7.8124608729980709</v>
      </c>
      <c r="K16" s="203">
        <f t="shared" si="2"/>
        <v>7.8947372245238103</v>
      </c>
      <c r="L16" s="203">
        <f t="shared" si="3"/>
        <v>11.94353766625734</v>
      </c>
      <c r="M16" s="203">
        <f t="shared" si="3"/>
        <v>28.71975507325018</v>
      </c>
      <c r="N16" s="203">
        <f t="shared" si="3"/>
        <v>18.727845819400677</v>
      </c>
      <c r="Q16" s="208">
        <f t="shared" si="14"/>
        <v>282.83192492122646</v>
      </c>
      <c r="R16" s="209"/>
      <c r="U16" s="22">
        <v>2031</v>
      </c>
      <c r="V16" s="186">
        <f t="shared" si="15"/>
        <v>84730.5</v>
      </c>
      <c r="W16" s="186">
        <f t="shared" si="15"/>
        <v>89268.5</v>
      </c>
      <c r="X16" s="186">
        <f t="shared" si="15"/>
        <v>226580.5</v>
      </c>
      <c r="Y16" s="186">
        <f t="shared" si="15"/>
        <v>144134.5</v>
      </c>
      <c r="Z16" s="203"/>
      <c r="AA16" s="203"/>
      <c r="AB16" s="202"/>
      <c r="AC16" s="186">
        <f t="shared" si="12"/>
        <v>84154.683571299582</v>
      </c>
      <c r="AD16" s="186">
        <f t="shared" si="12"/>
        <v>1913.1131031262105</v>
      </c>
      <c r="AE16" s="186">
        <f t="shared" si="12"/>
        <v>6020.8124050112037</v>
      </c>
      <c r="AF16" s="186">
        <f t="shared" si="12"/>
        <v>110728.96658854511</v>
      </c>
      <c r="AG16" s="186">
        <f t="shared" si="12"/>
        <v>55612.772875017552</v>
      </c>
      <c r="AJ16" s="212">
        <f t="shared" si="5"/>
        <v>14.341387010410198</v>
      </c>
      <c r="AK16" s="212">
        <f t="shared" si="5"/>
        <v>1.3599178252415733</v>
      </c>
      <c r="AL16" s="212">
        <f t="shared" si="5"/>
        <v>11.883161605429553</v>
      </c>
      <c r="AM16" s="212">
        <f t="shared" si="5"/>
        <v>7.4543739250450924</v>
      </c>
    </row>
    <row r="17" spans="1:39" x14ac:dyDescent="0.2">
      <c r="A17" s="22">
        <v>2032</v>
      </c>
      <c r="B17" s="203">
        <f t="shared" si="10"/>
        <v>5.8625446189785695</v>
      </c>
      <c r="C17" s="203">
        <f t="shared" si="11"/>
        <v>6.6531095027172871</v>
      </c>
      <c r="D17" s="203">
        <f t="shared" si="11"/>
        <v>10.091837952162448</v>
      </c>
      <c r="E17" s="203">
        <f t="shared" si="11"/>
        <v>24.250604712344007</v>
      </c>
      <c r="F17" s="203">
        <f t="shared" si="11"/>
        <v>15.807249170478885</v>
      </c>
      <c r="G17" s="203"/>
      <c r="H17" s="203"/>
      <c r="I17" s="202">
        <f t="shared" si="13"/>
        <v>6.5940740122454322</v>
      </c>
      <c r="J17" s="203">
        <v>7.8283446817637188</v>
      </c>
      <c r="K17" s="203">
        <f t="shared" si="2"/>
        <v>7.9274175854634077</v>
      </c>
      <c r="L17" s="203">
        <f t="shared" si="3"/>
        <v>12.024785345701106</v>
      </c>
      <c r="M17" s="203">
        <f t="shared" si="3"/>
        <v>28.895461614789355</v>
      </c>
      <c r="N17" s="203">
        <f t="shared" si="3"/>
        <v>18.834901935805558</v>
      </c>
      <c r="Q17" s="208">
        <f t="shared" si="14"/>
        <v>284.16712244542066</v>
      </c>
      <c r="R17" s="209"/>
      <c r="U17" s="22">
        <v>2032</v>
      </c>
      <c r="V17" s="186">
        <f t="shared" si="15"/>
        <v>85159.875</v>
      </c>
      <c r="W17" s="186">
        <f t="shared" si="15"/>
        <v>89556.625</v>
      </c>
      <c r="X17" s="186">
        <f t="shared" si="15"/>
        <v>216166.125</v>
      </c>
      <c r="Y17" s="186">
        <f t="shared" si="15"/>
        <v>142691.375</v>
      </c>
      <c r="Z17" s="203"/>
      <c r="AA17" s="203"/>
      <c r="AB17" s="202"/>
      <c r="AC17" s="186">
        <f t="shared" si="12"/>
        <v>84191.182466604063</v>
      </c>
      <c r="AD17" s="186">
        <f t="shared" si="12"/>
        <v>2037.9405862784147</v>
      </c>
      <c r="AE17" s="186">
        <f t="shared" si="12"/>
        <v>6073.7112502565178</v>
      </c>
      <c r="AF17" s="186">
        <f t="shared" si="12"/>
        <v>105331.83890495136</v>
      </c>
      <c r="AG17" s="186">
        <f t="shared" si="12"/>
        <v>54784.068503439463</v>
      </c>
      <c r="AJ17" s="212">
        <f t="shared" si="5"/>
        <v>12.765513870604126</v>
      </c>
      <c r="AK17" s="212">
        <f t="shared" si="5"/>
        <v>1.3624492259025751</v>
      </c>
      <c r="AL17" s="212">
        <f t="shared" si="5"/>
        <v>11.309779470026157</v>
      </c>
      <c r="AM17" s="212">
        <f t="shared" si="5"/>
        <v>7.3389864765271522</v>
      </c>
    </row>
    <row r="18" spans="1:39" x14ac:dyDescent="0.2">
      <c r="A18" s="22">
        <v>2033</v>
      </c>
      <c r="B18" s="203">
        <f t="shared" si="10"/>
        <v>5.8625446189785695</v>
      </c>
      <c r="C18" s="203">
        <f t="shared" si="11"/>
        <v>6.6663051325418001</v>
      </c>
      <c r="D18" s="203">
        <f t="shared" si="11"/>
        <v>10.124644025021382</v>
      </c>
      <c r="E18" s="203">
        <f t="shared" si="11"/>
        <v>24.321551250669632</v>
      </c>
      <c r="F18" s="203">
        <f t="shared" si="11"/>
        <v>15.850476137437415</v>
      </c>
      <c r="G18" s="203"/>
      <c r="H18" s="203"/>
      <c r="I18" s="202">
        <f t="shared" si="13"/>
        <v>6.5940740122454322</v>
      </c>
      <c r="J18" s="203">
        <v>7.8442607844998591</v>
      </c>
      <c r="K18" s="203">
        <f t="shared" si="2"/>
        <v>7.9431406496756214</v>
      </c>
      <c r="L18" s="203">
        <f t="shared" si="3"/>
        <v>12.063874953167465</v>
      </c>
      <c r="M18" s="203">
        <f t="shared" si="3"/>
        <v>28.979996949029776</v>
      </c>
      <c r="N18" s="203">
        <f t="shared" si="3"/>
        <v>18.886408410769384</v>
      </c>
      <c r="Q18" s="208">
        <f t="shared" si="14"/>
        <v>285.50231996961486</v>
      </c>
      <c r="R18" s="209"/>
      <c r="U18" s="22">
        <v>2033</v>
      </c>
      <c r="V18" s="186">
        <f t="shared" si="15"/>
        <v>85589.25</v>
      </c>
      <c r="W18" s="186">
        <f t="shared" si="15"/>
        <v>89844.75</v>
      </c>
      <c r="X18" s="186">
        <f t="shared" si="15"/>
        <v>205751.75</v>
      </c>
      <c r="Y18" s="186">
        <f t="shared" si="15"/>
        <v>141248.25</v>
      </c>
      <c r="Z18" s="203"/>
      <c r="AA18" s="203"/>
      <c r="AB18" s="202"/>
      <c r="AC18" s="186">
        <f t="shared" si="12"/>
        <v>84227.755569188754</v>
      </c>
      <c r="AD18" s="186">
        <f t="shared" si="12"/>
        <v>2097.9971608272308</v>
      </c>
      <c r="AE18" s="186">
        <f t="shared" si="12"/>
        <v>6099.1617629384727</v>
      </c>
      <c r="AF18" s="186">
        <f t="shared" si="12"/>
        <v>102735.1911724644</v>
      </c>
      <c r="AG18" s="186">
        <f t="shared" si="12"/>
        <v>54385.365072001012</v>
      </c>
      <c r="AJ18" s="212">
        <f t="shared" si="5"/>
        <v>13.22029988706981</v>
      </c>
      <c r="AK18" s="212">
        <f t="shared" si="5"/>
        <v>1.3678430256257903</v>
      </c>
      <c r="AL18" s="212">
        <f t="shared" si="5"/>
        <v>11.049743919311467</v>
      </c>
      <c r="AM18" s="212">
        <f t="shared" si="5"/>
        <v>7.2967572693246971</v>
      </c>
    </row>
    <row r="19" spans="1:39" x14ac:dyDescent="0.2">
      <c r="A19" s="22">
        <v>2034</v>
      </c>
      <c r="B19" s="203">
        <f t="shared" si="10"/>
        <v>5.8625446189785695</v>
      </c>
      <c r="C19" s="203">
        <f t="shared" si="11"/>
        <v>6.6723105163654886</v>
      </c>
      <c r="D19" s="203">
        <f t="shared" si="11"/>
        <v>10.139574199775129</v>
      </c>
      <c r="E19" s="203">
        <f t="shared" si="11"/>
        <v>24.353839303553311</v>
      </c>
      <c r="F19" s="203">
        <f t="shared" si="11"/>
        <v>15.870148902706838</v>
      </c>
      <c r="G19" s="203"/>
      <c r="H19" s="203"/>
      <c r="I19" s="202">
        <f t="shared" si="13"/>
        <v>6.5940740122454322</v>
      </c>
      <c r="J19" s="203">
        <v>7.8602092468645806</v>
      </c>
      <c r="K19" s="203">
        <f t="shared" si="2"/>
        <v>7.9502962789812752</v>
      </c>
      <c r="L19" s="203">
        <f t="shared" si="3"/>
        <v>12.081664789611395</v>
      </c>
      <c r="M19" s="203">
        <f t="shared" si="3"/>
        <v>29.018469317194757</v>
      </c>
      <c r="N19" s="203">
        <f t="shared" si="3"/>
        <v>18.909849213192345</v>
      </c>
      <c r="Q19" s="208">
        <f t="shared" si="14"/>
        <v>286.83751749380906</v>
      </c>
      <c r="R19" s="209"/>
      <c r="U19" s="22">
        <v>2034</v>
      </c>
      <c r="V19" s="186">
        <f t="shared" si="15"/>
        <v>86018.625</v>
      </c>
      <c r="W19" s="186">
        <f t="shared" si="15"/>
        <v>90132.875</v>
      </c>
      <c r="X19" s="186">
        <f t="shared" si="15"/>
        <v>195337.375</v>
      </c>
      <c r="Y19" s="186">
        <f t="shared" si="15"/>
        <v>139805.125</v>
      </c>
      <c r="Z19" s="203"/>
      <c r="AA19" s="203"/>
      <c r="AB19" s="202"/>
      <c r="AC19" s="186">
        <f t="shared" si="12"/>
        <v>84264.403029927285</v>
      </c>
      <c r="AD19" s="186">
        <f t="shared" si="12"/>
        <v>2125.329147712132</v>
      </c>
      <c r="AE19" s="186">
        <f t="shared" si="12"/>
        <v>6110.7443928846997</v>
      </c>
      <c r="AF19" s="186">
        <f t="shared" si="12"/>
        <v>101553.44642091604</v>
      </c>
      <c r="AG19" s="186">
        <f t="shared" si="12"/>
        <v>54203.913548318422</v>
      </c>
      <c r="AJ19" s="212">
        <f t="shared" si="5"/>
        <v>14.742846372245516</v>
      </c>
      <c r="AK19" s="212">
        <f t="shared" si="5"/>
        <v>1.3746520606481316</v>
      </c>
      <c r="AL19" s="212">
        <f t="shared" si="5"/>
        <v>10.947710979278538</v>
      </c>
      <c r="AM19" s="212">
        <f t="shared" si="5"/>
        <v>7.2912953356629782</v>
      </c>
    </row>
    <row r="20" spans="1:39" x14ac:dyDescent="0.2">
      <c r="A20" s="200">
        <v>2035</v>
      </c>
      <c r="B20" s="201">
        <f t="shared" si="10"/>
        <v>5.8625446189785695</v>
      </c>
      <c r="C20" s="201">
        <f>C$3*'Class 8 Box Truck'!$F78</f>
        <v>6.6770445707663644</v>
      </c>
      <c r="D20" s="201">
        <f>D$3*'Class 8 Box Truck'!$P78</f>
        <v>10.151343682221871</v>
      </c>
      <c r="E20" s="201">
        <f>E$3*'Class 8 Box Truck'!$K78</f>
        <v>24.379292031195263</v>
      </c>
      <c r="F20" s="201">
        <f>F$3*'Class 8 Box Truck'!$U78</f>
        <v>15.885656977417026</v>
      </c>
      <c r="G20" s="201"/>
      <c r="H20" s="201"/>
      <c r="I20" s="202">
        <f t="shared" si="13"/>
        <v>6.5940740122454322</v>
      </c>
      <c r="J20" s="203">
        <v>7.8761901346494616</v>
      </c>
      <c r="K20" s="202">
        <f t="shared" si="2"/>
        <v>7.955937073874658</v>
      </c>
      <c r="L20" s="203">
        <f t="shared" si="3"/>
        <v>12.095688548288747</v>
      </c>
      <c r="M20" s="203">
        <f t="shared" si="3"/>
        <v>29.048797151213481</v>
      </c>
      <c r="N20" s="203">
        <f t="shared" si="3"/>
        <v>18.928327638073828</v>
      </c>
      <c r="Q20" s="204">
        <f>'Class 8 Box Truck'!K73</f>
        <v>288.17271501800315</v>
      </c>
      <c r="R20" s="205"/>
      <c r="S20" s="200"/>
      <c r="U20" s="200">
        <v>2035</v>
      </c>
      <c r="V20" s="206">
        <f>'Class 8 Box Truck'!F$83</f>
        <v>86448</v>
      </c>
      <c r="W20" s="206">
        <f>'Class 8 Box Truck'!$P$83</f>
        <v>90421</v>
      </c>
      <c r="X20" s="206">
        <f>'Class 8 Box Truck'!$K$83</f>
        <v>184923</v>
      </c>
      <c r="Y20" s="206">
        <f>'Class 8 Box Truck'!$U$83</f>
        <v>138362</v>
      </c>
      <c r="Z20" s="201"/>
      <c r="AA20" s="201"/>
      <c r="AB20" s="202"/>
      <c r="AC20" s="219">
        <f t="shared" si="8"/>
        <v>84301.125</v>
      </c>
      <c r="AD20" s="206">
        <f t="shared" ref="AD20" si="16">V20-$AC20</f>
        <v>2146.875</v>
      </c>
      <c r="AE20" s="206">
        <f>W20-$AC20</f>
        <v>6119.875</v>
      </c>
      <c r="AF20" s="206">
        <f>X20-$AC20</f>
        <v>100621.875</v>
      </c>
      <c r="AG20" s="206">
        <f>Y20-$AC20</f>
        <v>54060.875</v>
      </c>
      <c r="AH20" s="200"/>
      <c r="AJ20" s="212">
        <f t="shared" si="5"/>
        <v>16.869424485615493</v>
      </c>
      <c r="AK20" s="212">
        <f t="shared" si="5"/>
        <v>1.3817469385825305</v>
      </c>
      <c r="AL20" s="212">
        <f t="shared" si="5"/>
        <v>10.873326138702623</v>
      </c>
      <c r="AM20" s="212">
        <f t="shared" si="5"/>
        <v>7.2923117647789528</v>
      </c>
    </row>
    <row r="21" spans="1:39" x14ac:dyDescent="0.2">
      <c r="A21" s="22">
        <v>2036</v>
      </c>
      <c r="B21" s="203">
        <f t="shared" si="10"/>
        <v>5.8625446189785695</v>
      </c>
      <c r="C21" s="203">
        <f>C$20+(C$35-C$20)/(1+EXP(-($A21-$A$20-($A$35-$A$20)*$C$44)/$C$41))</f>
        <v>6.7135193930201398</v>
      </c>
      <c r="D21" s="203">
        <f t="shared" ref="D21:F34" si="17">D$20+(D$35-D$20)/(1+EXP(-($A21-$A$20-($A$35-$A$20)*$C$44)/$C$41))</f>
        <v>10.249651695546222</v>
      </c>
      <c r="E21" s="203">
        <f t="shared" si="17"/>
        <v>24.609101449718395</v>
      </c>
      <c r="F21" s="203">
        <f t="shared" si="17"/>
        <v>16.066436841717323</v>
      </c>
      <c r="G21" s="203"/>
      <c r="H21" s="203"/>
      <c r="I21" s="202">
        <f t="shared" si="13"/>
        <v>6.5940740122454322</v>
      </c>
      <c r="J21" s="203">
        <v>7.8768612391973623</v>
      </c>
      <c r="K21" s="203">
        <f t="shared" si="2"/>
        <v>7.9993981272727916</v>
      </c>
      <c r="L21" s="203">
        <f t="shared" si="3"/>
        <v>12.212826057193588</v>
      </c>
      <c r="M21" s="203">
        <f t="shared" si="3"/>
        <v>29.322623280929417</v>
      </c>
      <c r="N21" s="203">
        <f t="shared" si="3"/>
        <v>19.143733302863581</v>
      </c>
      <c r="Q21" s="208">
        <f>Q20+(Q$35-Q$20)/($A$35-$A$20)</f>
        <v>288.69998661681103</v>
      </c>
      <c r="R21" s="209"/>
      <c r="U21" s="22">
        <v>2036</v>
      </c>
      <c r="V21" s="186">
        <f>V20+(V$35-V$20)/($A$35-$A$20)</f>
        <v>86378</v>
      </c>
      <c r="W21" s="186">
        <f>W20+(W$35-W$20)/($A$35-$A$20)</f>
        <v>90017.46666666666</v>
      </c>
      <c r="X21" s="186">
        <f>X20+(X$35-X$20)/($A$35-$A$20)</f>
        <v>179120</v>
      </c>
      <c r="Y21" s="186">
        <f>Y20+(Y$35-Y$20)/($A$35-$A$20)</f>
        <v>135756.73333333334</v>
      </c>
      <c r="Z21" s="203"/>
      <c r="AA21" s="203"/>
      <c r="AB21" s="202"/>
      <c r="AC21" s="186">
        <f t="shared" ref="AC21:AG34" si="18">AC$20+(AC$35-AC$20)*(J21-J$20)/(J$35-J$20)</f>
        <v>84307.830725171938</v>
      </c>
      <c r="AD21" s="186">
        <f t="shared" si="18"/>
        <v>2108.4743346955097</v>
      </c>
      <c r="AE21" s="186">
        <f t="shared" si="18"/>
        <v>5951.6096766349319</v>
      </c>
      <c r="AF21" s="186">
        <f t="shared" si="18"/>
        <v>98351.271402470971</v>
      </c>
      <c r="AG21" s="186">
        <f t="shared" si="18"/>
        <v>53035.341997820513</v>
      </c>
      <c r="AJ21" s="212">
        <f t="shared" si="5"/>
        <v>10.84206431015734</v>
      </c>
      <c r="AK21" s="212">
        <f t="shared" si="5"/>
        <v>1.3204381336719442</v>
      </c>
      <c r="AL21" s="212">
        <f t="shared" si="5"/>
        <v>10.592403384824538</v>
      </c>
      <c r="AM21" s="212">
        <f t="shared" si="5"/>
        <v>7.0980955476625711</v>
      </c>
    </row>
    <row r="22" spans="1:39" x14ac:dyDescent="0.2">
      <c r="A22" s="22">
        <v>2037</v>
      </c>
      <c r="B22" s="203">
        <f t="shared" si="10"/>
        <v>5.8625446189785695</v>
      </c>
      <c r="C22" s="203">
        <f t="shared" ref="C22:F34" si="19">C$20+(C$35-C$20)/(1+EXP(-($A22-$A$20-($A$35-$A$20)*$C$44)/$C$41))</f>
        <v>6.7361855065361178</v>
      </c>
      <c r="D22" s="203">
        <f t="shared" si="19"/>
        <v>10.310742071094506</v>
      </c>
      <c r="E22" s="203">
        <f t="shared" si="17"/>
        <v>24.751909174209693</v>
      </c>
      <c r="F22" s="203">
        <f t="shared" si="19"/>
        <v>16.17877671542869</v>
      </c>
      <c r="G22" s="203"/>
      <c r="H22" s="203"/>
      <c r="I22" s="202">
        <f t="shared" si="13"/>
        <v>6.5940740122454322</v>
      </c>
      <c r="J22" s="203">
        <v>7.8780700934087866</v>
      </c>
      <c r="K22" s="203">
        <f t="shared" si="2"/>
        <v>8.0264056110376814</v>
      </c>
      <c r="L22" s="203">
        <f t="shared" si="3"/>
        <v>12.285617421476143</v>
      </c>
      <c r="M22" s="203">
        <f t="shared" si="3"/>
        <v>29.492783784977927</v>
      </c>
      <c r="N22" s="203">
        <f t="shared" si="3"/>
        <v>19.277590274561476</v>
      </c>
      <c r="Q22" s="208">
        <f t="shared" ref="Q22:Q34" si="20">Q21+(Q$35-Q$20)/($A$35-$A$20)</f>
        <v>289.22725821561892</v>
      </c>
      <c r="R22" s="209"/>
      <c r="U22" s="22">
        <v>2037</v>
      </c>
      <c r="V22" s="186">
        <f t="shared" ref="V22:Y34" si="21">V21+(V$35-V$20)/($A$35-$A$20)</f>
        <v>86308</v>
      </c>
      <c r="W22" s="186">
        <f t="shared" si="21"/>
        <v>89613.93333333332</v>
      </c>
      <c r="X22" s="186">
        <f t="shared" si="21"/>
        <v>173317</v>
      </c>
      <c r="Y22" s="186">
        <f t="shared" si="21"/>
        <v>133151.46666666667</v>
      </c>
      <c r="Z22" s="203"/>
      <c r="AA22" s="203"/>
      <c r="AB22" s="202"/>
      <c r="AC22" s="186">
        <f t="shared" si="18"/>
        <v>84319.909683867867</v>
      </c>
      <c r="AD22" s="186">
        <f t="shared" si="18"/>
        <v>2084.6114675148324</v>
      </c>
      <c r="AE22" s="186">
        <f t="shared" si="18"/>
        <v>5847.0465647529927</v>
      </c>
      <c r="AF22" s="186">
        <f t="shared" si="18"/>
        <v>96940.277305411233</v>
      </c>
      <c r="AG22" s="186">
        <f t="shared" si="18"/>
        <v>52398.057262611786</v>
      </c>
      <c r="AJ22" s="212">
        <f t="shared" si="5"/>
        <v>8.8862988451572864</v>
      </c>
      <c r="AK22" s="212">
        <f t="shared" si="5"/>
        <v>1.2839744912922491</v>
      </c>
      <c r="AL22" s="212">
        <f t="shared" si="5"/>
        <v>10.420543670505175</v>
      </c>
      <c r="AM22" s="212">
        <f t="shared" si="5"/>
        <v>6.980735766206438</v>
      </c>
    </row>
    <row r="23" spans="1:39" x14ac:dyDescent="0.2">
      <c r="A23" s="22">
        <v>2038</v>
      </c>
      <c r="B23" s="203">
        <f t="shared" si="10"/>
        <v>5.8625446189785695</v>
      </c>
      <c r="C23" s="203">
        <f t="shared" si="19"/>
        <v>6.7719599943348987</v>
      </c>
      <c r="D23" s="203">
        <f t="shared" si="19"/>
        <v>10.40716252240542</v>
      </c>
      <c r="E23" s="203">
        <f t="shared" si="17"/>
        <v>24.977306139321694</v>
      </c>
      <c r="F23" s="203">
        <f t="shared" si="19"/>
        <v>16.356085517776776</v>
      </c>
      <c r="G23" s="203"/>
      <c r="H23" s="203"/>
      <c r="I23" s="202">
        <f t="shared" si="13"/>
        <v>6.5940740122454322</v>
      </c>
      <c r="J23" s="203">
        <v>7.8790193478605959</v>
      </c>
      <c r="K23" s="203">
        <f t="shared" si="2"/>
        <v>8.0690321909205434</v>
      </c>
      <c r="L23" s="203">
        <f t="shared" si="3"/>
        <v>12.4005058328285</v>
      </c>
      <c r="M23" s="203">
        <f t="shared" si="3"/>
        <v>29.761352318865608</v>
      </c>
      <c r="N23" s="203">
        <f t="shared" si="3"/>
        <v>19.488860045067671</v>
      </c>
      <c r="Q23" s="208">
        <f t="shared" si="20"/>
        <v>289.7545298144268</v>
      </c>
      <c r="R23" s="209"/>
      <c r="U23" s="22">
        <v>2038</v>
      </c>
      <c r="V23" s="186">
        <f t="shared" si="21"/>
        <v>86238</v>
      </c>
      <c r="W23" s="186">
        <f t="shared" si="21"/>
        <v>89210.39999999998</v>
      </c>
      <c r="X23" s="186">
        <f t="shared" si="21"/>
        <v>167514</v>
      </c>
      <c r="Y23" s="186">
        <f t="shared" si="21"/>
        <v>130546.20000000001</v>
      </c>
      <c r="Z23" s="203"/>
      <c r="AA23" s="203"/>
      <c r="AB23" s="202"/>
      <c r="AC23" s="186">
        <f t="shared" si="18"/>
        <v>84329.394702993392</v>
      </c>
      <c r="AD23" s="186">
        <f t="shared" si="18"/>
        <v>2046.9481137953117</v>
      </c>
      <c r="AE23" s="186">
        <f t="shared" si="18"/>
        <v>5682.0120180237482</v>
      </c>
      <c r="AF23" s="186">
        <f t="shared" si="18"/>
        <v>94713.270409242934</v>
      </c>
      <c r="AG23" s="186">
        <f t="shared" si="18"/>
        <v>51392.21499644639</v>
      </c>
      <c r="AJ23" s="212">
        <f t="shared" si="5"/>
        <v>6.8488474537099275</v>
      </c>
      <c r="AK23" s="212">
        <f t="shared" si="5"/>
        <v>1.2278137109606813</v>
      </c>
      <c r="AL23" s="212">
        <f t="shared" si="5"/>
        <v>10.149439024738555</v>
      </c>
      <c r="AM23" s="212">
        <f t="shared" si="5"/>
        <v>6.7971942165211887</v>
      </c>
    </row>
    <row r="24" spans="1:39" x14ac:dyDescent="0.2">
      <c r="A24" s="22">
        <v>2039</v>
      </c>
      <c r="B24" s="203">
        <f t="shared" si="10"/>
        <v>5.8625446189785695</v>
      </c>
      <c r="C24" s="203">
        <f t="shared" si="19"/>
        <v>6.826964318784766</v>
      </c>
      <c r="D24" s="203">
        <f t="shared" si="19"/>
        <v>10.555411794829352</v>
      </c>
      <c r="E24" s="203">
        <f t="shared" si="17"/>
        <v>25.32386058529362</v>
      </c>
      <c r="F24" s="203">
        <f t="shared" si="19"/>
        <v>16.62870300281325</v>
      </c>
      <c r="G24" s="203"/>
      <c r="H24" s="203"/>
      <c r="I24" s="202">
        <f t="shared" si="13"/>
        <v>6.5940740122454322</v>
      </c>
      <c r="J24" s="203">
        <v>7.8800990704038281</v>
      </c>
      <c r="K24" s="203">
        <f t="shared" si="2"/>
        <v>8.1345718079586096</v>
      </c>
      <c r="L24" s="203">
        <f t="shared" si="3"/>
        <v>12.577150135581316</v>
      </c>
      <c r="M24" s="203">
        <f t="shared" si="3"/>
        <v>30.174284318285775</v>
      </c>
      <c r="N24" s="203">
        <f t="shared" si="3"/>
        <v>19.813693514906142</v>
      </c>
      <c r="Q24" s="208">
        <f t="shared" si="20"/>
        <v>290.28180141323469</v>
      </c>
      <c r="R24" s="209"/>
      <c r="U24" s="22">
        <v>2039</v>
      </c>
      <c r="V24" s="186">
        <f t="shared" si="21"/>
        <v>86168</v>
      </c>
      <c r="W24" s="186">
        <f t="shared" si="21"/>
        <v>88806.86666666664</v>
      </c>
      <c r="X24" s="186">
        <f t="shared" si="21"/>
        <v>161711</v>
      </c>
      <c r="Y24" s="186">
        <f t="shared" si="21"/>
        <v>127940.93333333335</v>
      </c>
      <c r="Z24" s="203"/>
      <c r="AA24" s="203"/>
      <c r="AB24" s="202"/>
      <c r="AC24" s="186">
        <f t="shared" si="18"/>
        <v>84340.183368722908</v>
      </c>
      <c r="AD24" s="186">
        <f t="shared" si="18"/>
        <v>1989.0396025816528</v>
      </c>
      <c r="AE24" s="186">
        <f t="shared" si="18"/>
        <v>5428.2665610715621</v>
      </c>
      <c r="AF24" s="186">
        <f t="shared" si="18"/>
        <v>91289.181976225431</v>
      </c>
      <c r="AG24" s="186">
        <f t="shared" si="18"/>
        <v>49845.703005422496</v>
      </c>
      <c r="AJ24" s="212">
        <f t="shared" si="5"/>
        <v>5.0103555191923022</v>
      </c>
      <c r="AK24" s="212">
        <f t="shared" si="5"/>
        <v>1.1453805580910648</v>
      </c>
      <c r="AL24" s="212">
        <f t="shared" si="5"/>
        <v>9.7363542223198287</v>
      </c>
      <c r="AM24" s="212">
        <f t="shared" si="5"/>
        <v>6.5215911618553104</v>
      </c>
    </row>
    <row r="25" spans="1:39" x14ac:dyDescent="0.2">
      <c r="A25" s="22">
        <v>2040</v>
      </c>
      <c r="B25" s="203">
        <f t="shared" si="10"/>
        <v>5.8625446189785695</v>
      </c>
      <c r="C25" s="203">
        <f t="shared" si="19"/>
        <v>6.9082202138122311</v>
      </c>
      <c r="D25" s="203">
        <f t="shared" si="19"/>
        <v>10.774415072089061</v>
      </c>
      <c r="E25" s="203">
        <f t="shared" si="17"/>
        <v>25.835812908403454</v>
      </c>
      <c r="F25" s="203">
        <f t="shared" si="19"/>
        <v>17.031430933177436</v>
      </c>
      <c r="G25" s="203"/>
      <c r="H25" s="203"/>
      <c r="I25" s="202">
        <f t="shared" si="13"/>
        <v>6.5940740122454322</v>
      </c>
      <c r="J25" s="203">
        <v>7.8815296451121526</v>
      </c>
      <c r="K25" s="203">
        <f t="shared" si="2"/>
        <v>8.2313911089035603</v>
      </c>
      <c r="L25" s="203">
        <f t="shared" si="3"/>
        <v>12.838100362045148</v>
      </c>
      <c r="M25" s="203">
        <f t="shared" si="3"/>
        <v>30.784293795430589</v>
      </c>
      <c r="N25" s="203">
        <f t="shared" si="3"/>
        <v>20.293558227191788</v>
      </c>
      <c r="Q25" s="208">
        <f t="shared" si="20"/>
        <v>290.80907301204257</v>
      </c>
      <c r="R25" s="209"/>
      <c r="U25" s="22">
        <v>2040</v>
      </c>
      <c r="V25" s="186">
        <f t="shared" si="21"/>
        <v>86098</v>
      </c>
      <c r="W25" s="186">
        <f t="shared" si="21"/>
        <v>88403.333333333299</v>
      </c>
      <c r="X25" s="186">
        <f t="shared" si="21"/>
        <v>155908</v>
      </c>
      <c r="Y25" s="186">
        <f t="shared" si="21"/>
        <v>125335.66666666669</v>
      </c>
      <c r="Z25" s="203"/>
      <c r="AA25" s="203"/>
      <c r="AB25" s="202"/>
      <c r="AC25" s="186">
        <f t="shared" si="18"/>
        <v>84354.477774657062</v>
      </c>
      <c r="AD25" s="186">
        <f t="shared" si="18"/>
        <v>1903.4934577023982</v>
      </c>
      <c r="AE25" s="186">
        <f t="shared" si="18"/>
        <v>5053.4175938308936</v>
      </c>
      <c r="AF25" s="186">
        <f t="shared" si="18"/>
        <v>86230.900230912463</v>
      </c>
      <c r="AG25" s="186">
        <f t="shared" si="18"/>
        <v>47561.096890209017</v>
      </c>
      <c r="AJ25" s="212">
        <f t="shared" si="5"/>
        <v>3.529710041390334</v>
      </c>
      <c r="AK25" s="212">
        <f t="shared" si="5"/>
        <v>1.031609092148521</v>
      </c>
      <c r="AL25" s="212">
        <f t="shared" si="5"/>
        <v>9.1351299105086525</v>
      </c>
      <c r="AM25" s="212">
        <f t="shared" si="5"/>
        <v>6.1288333204735261</v>
      </c>
    </row>
    <row r="26" spans="1:39" x14ac:dyDescent="0.2">
      <c r="A26" s="22">
        <v>2041</v>
      </c>
      <c r="B26" s="203">
        <f t="shared" si="10"/>
        <v>5.8625446189785695</v>
      </c>
      <c r="C26" s="203">
        <f t="shared" si="19"/>
        <v>7.0214337249837344</v>
      </c>
      <c r="D26" s="203">
        <f t="shared" si="19"/>
        <v>11.079551455957052</v>
      </c>
      <c r="E26" s="203">
        <f t="shared" si="17"/>
        <v>26.54911401759782</v>
      </c>
      <c r="F26" s="203">
        <f t="shared" si="19"/>
        <v>17.592550136011283</v>
      </c>
      <c r="G26" s="203"/>
      <c r="H26" s="203"/>
      <c r="I26" s="202">
        <f t="shared" si="13"/>
        <v>6.5940740122454322</v>
      </c>
      <c r="J26" s="203">
        <v>7.8832558955587535</v>
      </c>
      <c r="K26" s="203">
        <f t="shared" si="2"/>
        <v>8.3662890508367997</v>
      </c>
      <c r="L26" s="203">
        <f t="shared" si="3"/>
        <v>13.20168126124001</v>
      </c>
      <c r="M26" s="203">
        <f t="shared" si="3"/>
        <v>31.634217542281366</v>
      </c>
      <c r="N26" s="203">
        <f t="shared" si="3"/>
        <v>20.96215179750196</v>
      </c>
      <c r="Q26" s="208">
        <f t="shared" si="20"/>
        <v>291.33634461085046</v>
      </c>
      <c r="R26" s="209"/>
      <c r="U26" s="22">
        <v>2041</v>
      </c>
      <c r="V26" s="186">
        <f t="shared" si="21"/>
        <v>86028</v>
      </c>
      <c r="W26" s="186">
        <f t="shared" si="21"/>
        <v>87999.799999999959</v>
      </c>
      <c r="X26" s="186">
        <f t="shared" si="21"/>
        <v>150105</v>
      </c>
      <c r="Y26" s="186">
        <f t="shared" si="21"/>
        <v>122730.40000000002</v>
      </c>
      <c r="Z26" s="203"/>
      <c r="AA26" s="203"/>
      <c r="AB26" s="202"/>
      <c r="AC26" s="186">
        <f t="shared" si="18"/>
        <v>84371.726593949134</v>
      </c>
      <c r="AD26" s="186">
        <f t="shared" si="18"/>
        <v>1784.3023586972981</v>
      </c>
      <c r="AE26" s="186">
        <f t="shared" si="18"/>
        <v>4531.1420379960437</v>
      </c>
      <c r="AF26" s="186">
        <f t="shared" si="18"/>
        <v>79183.216654378979</v>
      </c>
      <c r="AG26" s="186">
        <f t="shared" si="18"/>
        <v>44377.964394286326</v>
      </c>
      <c r="AJ26" s="212">
        <f t="shared" si="5"/>
        <v>2.4362956925277337</v>
      </c>
      <c r="AK26" s="212">
        <f t="shared" si="5"/>
        <v>0.88666481396469388</v>
      </c>
      <c r="AL26" s="212">
        <f t="shared" si="5"/>
        <v>8.3140888786542</v>
      </c>
      <c r="AM26" s="212">
        <f t="shared" si="5"/>
        <v>5.6070932671231137</v>
      </c>
    </row>
    <row r="27" spans="1:39" x14ac:dyDescent="0.2">
      <c r="A27" s="22">
        <v>2042</v>
      </c>
      <c r="B27" s="203">
        <f t="shared" si="10"/>
        <v>5.8625446189785695</v>
      </c>
      <c r="C27" s="203">
        <f t="shared" si="19"/>
        <v>7.1669545891109294</v>
      </c>
      <c r="D27" s="203">
        <f t="shared" si="19"/>
        <v>11.471763567370607</v>
      </c>
      <c r="E27" s="203">
        <f t="shared" si="17"/>
        <v>27.465967427749607</v>
      </c>
      <c r="F27" s="203">
        <f t="shared" si="19"/>
        <v>18.313794009024356</v>
      </c>
      <c r="G27" s="203"/>
      <c r="H27" s="203"/>
      <c r="I27" s="202">
        <f t="shared" si="13"/>
        <v>6.5940740122454322</v>
      </c>
      <c r="J27" s="203">
        <v>7.8853279467657602</v>
      </c>
      <c r="K27" s="203">
        <f t="shared" si="2"/>
        <v>8.5396823576601122</v>
      </c>
      <c r="L27" s="203">
        <f t="shared" si="3"/>
        <v>13.669015999677978</v>
      </c>
      <c r="M27" s="203">
        <f t="shared" si="3"/>
        <v>32.726681125506744</v>
      </c>
      <c r="N27" s="203">
        <f t="shared" si="3"/>
        <v>21.821539631115151</v>
      </c>
      <c r="Q27" s="208">
        <f t="shared" si="20"/>
        <v>291.86361620965835</v>
      </c>
      <c r="R27" s="209"/>
      <c r="U27" s="22">
        <v>2042</v>
      </c>
      <c r="V27" s="186">
        <f t="shared" si="21"/>
        <v>85958</v>
      </c>
      <c r="W27" s="186">
        <f t="shared" si="21"/>
        <v>87596.266666666619</v>
      </c>
      <c r="X27" s="186">
        <f t="shared" si="21"/>
        <v>144302</v>
      </c>
      <c r="Y27" s="186">
        <f t="shared" si="21"/>
        <v>120125.13333333336</v>
      </c>
      <c r="Z27" s="203"/>
      <c r="AA27" s="203"/>
      <c r="AB27" s="202"/>
      <c r="AC27" s="186">
        <f t="shared" si="18"/>
        <v>84392.430679444951</v>
      </c>
      <c r="AD27" s="186">
        <f t="shared" si="18"/>
        <v>1631.098102915345</v>
      </c>
      <c r="AE27" s="186">
        <f t="shared" si="18"/>
        <v>3859.8264908396181</v>
      </c>
      <c r="AF27" s="186">
        <f t="shared" si="18"/>
        <v>70124.359689872741</v>
      </c>
      <c r="AG27" s="186">
        <f t="shared" si="18"/>
        <v>40286.472251300744</v>
      </c>
      <c r="AJ27" s="212">
        <f t="shared" si="5"/>
        <v>1.6785277495094015</v>
      </c>
      <c r="AK27" s="212">
        <f t="shared" si="5"/>
        <v>0.71931635263258031</v>
      </c>
      <c r="AL27" s="212">
        <f t="shared" si="5"/>
        <v>7.2847622822707274</v>
      </c>
      <c r="AM27" s="212">
        <f t="shared" si="5"/>
        <v>4.9741588948395981</v>
      </c>
    </row>
    <row r="28" spans="1:39" x14ac:dyDescent="0.2">
      <c r="A28" s="22">
        <v>2043</v>
      </c>
      <c r="B28" s="203">
        <f t="shared" si="10"/>
        <v>5.8625446189785695</v>
      </c>
      <c r="C28" s="203">
        <f t="shared" si="19"/>
        <v>7.3357809224732113</v>
      </c>
      <c r="D28" s="203">
        <f t="shared" si="19"/>
        <v>11.926789264664105</v>
      </c>
      <c r="E28" s="203">
        <f t="shared" si="17"/>
        <v>28.529656819611208</v>
      </c>
      <c r="F28" s="203">
        <f t="shared" si="19"/>
        <v>19.150546589289256</v>
      </c>
      <c r="G28" s="203"/>
      <c r="H28" s="203"/>
      <c r="I28" s="202">
        <f t="shared" si="13"/>
        <v>6.5940740122454322</v>
      </c>
      <c r="J28" s="203">
        <v>7.8877646562024601</v>
      </c>
      <c r="K28" s="203">
        <f t="shared" si="2"/>
        <v>8.7408449634219512</v>
      </c>
      <c r="L28" s="203">
        <f t="shared" si="3"/>
        <v>14.211195369052399</v>
      </c>
      <c r="M28" s="203">
        <f t="shared" si="3"/>
        <v>33.994105025124</v>
      </c>
      <c r="N28" s="203">
        <f t="shared" si="3"/>
        <v>22.818560214763242</v>
      </c>
      <c r="Q28" s="208">
        <f t="shared" si="20"/>
        <v>292.39088780846623</v>
      </c>
      <c r="R28" s="209"/>
      <c r="U28" s="22">
        <v>2043</v>
      </c>
      <c r="V28" s="186">
        <f t="shared" si="21"/>
        <v>85888</v>
      </c>
      <c r="W28" s="186">
        <f t="shared" si="21"/>
        <v>87192.733333333279</v>
      </c>
      <c r="X28" s="186">
        <f t="shared" si="21"/>
        <v>138499</v>
      </c>
      <c r="Y28" s="186">
        <f t="shared" si="21"/>
        <v>117519.8666666667</v>
      </c>
      <c r="Z28" s="203"/>
      <c r="AA28" s="203"/>
      <c r="AB28" s="202"/>
      <c r="AC28" s="186">
        <f t="shared" si="18"/>
        <v>84416.778456341228</v>
      </c>
      <c r="AD28" s="186">
        <f t="shared" si="18"/>
        <v>1453.3578667348015</v>
      </c>
      <c r="AE28" s="186">
        <f t="shared" si="18"/>
        <v>3080.9983617237081</v>
      </c>
      <c r="AF28" s="186">
        <f t="shared" si="18"/>
        <v>59614.707930010998</v>
      </c>
      <c r="AG28" s="186">
        <f t="shared" si="18"/>
        <v>35539.719126765405</v>
      </c>
      <c r="AJ28" s="212">
        <f t="shared" si="5"/>
        <v>1.1746000379072692</v>
      </c>
      <c r="AK28" s="212">
        <f t="shared" si="5"/>
        <v>0.54616423494357225</v>
      </c>
      <c r="AL28" s="212">
        <f t="shared" si="5"/>
        <v>6.1230101691099499</v>
      </c>
      <c r="AM28" s="212">
        <f t="shared" si="5"/>
        <v>4.2842344078809962</v>
      </c>
    </row>
    <row r="29" spans="1:39" x14ac:dyDescent="0.2">
      <c r="A29" s="22">
        <v>2044</v>
      </c>
      <c r="B29" s="203">
        <f t="shared" si="10"/>
        <v>5.8625446189785695</v>
      </c>
      <c r="C29" s="203">
        <f t="shared" si="19"/>
        <v>7.5098492636458385</v>
      </c>
      <c r="D29" s="203">
        <f t="shared" si="19"/>
        <v>12.395943375526842</v>
      </c>
      <c r="E29" s="203">
        <f t="shared" si="17"/>
        <v>29.626373453069981</v>
      </c>
      <c r="F29" s="203">
        <f t="shared" si="19"/>
        <v>20.013280090147056</v>
      </c>
      <c r="G29" s="203"/>
      <c r="H29" s="203"/>
      <c r="I29" s="202">
        <f t="shared" si="13"/>
        <v>6.5940740122454322</v>
      </c>
      <c r="J29" s="203">
        <v>7.8915292676605535</v>
      </c>
      <c r="K29" s="203">
        <f t="shared" si="2"/>
        <v>8.9482536087058957</v>
      </c>
      <c r="L29" s="203">
        <f t="shared" si="3"/>
        <v>14.77020924778485</v>
      </c>
      <c r="M29" s="203">
        <f t="shared" si="3"/>
        <v>35.300882062658161</v>
      </c>
      <c r="N29" s="203">
        <f t="shared" si="3"/>
        <v>23.846537993195302</v>
      </c>
      <c r="Q29" s="208">
        <f t="shared" si="20"/>
        <v>292.91815940727412</v>
      </c>
      <c r="R29" s="209"/>
      <c r="U29" s="22">
        <v>2044</v>
      </c>
      <c r="V29" s="186">
        <f t="shared" si="21"/>
        <v>85818</v>
      </c>
      <c r="W29" s="186">
        <f t="shared" si="21"/>
        <v>86789.199999999939</v>
      </c>
      <c r="X29" s="186">
        <f t="shared" si="21"/>
        <v>132696</v>
      </c>
      <c r="Y29" s="186">
        <f t="shared" si="21"/>
        <v>114914.60000000003</v>
      </c>
      <c r="Z29" s="203"/>
      <c r="AA29" s="203"/>
      <c r="AB29" s="202"/>
      <c r="AC29" s="186">
        <f t="shared" si="18"/>
        <v>84454.394726259314</v>
      </c>
      <c r="AD29" s="186">
        <f t="shared" si="18"/>
        <v>1270.0988486929491</v>
      </c>
      <c r="AE29" s="186">
        <f t="shared" si="18"/>
        <v>2277.9878491227419</v>
      </c>
      <c r="AF29" s="186">
        <f t="shared" si="18"/>
        <v>48778.734585642778</v>
      </c>
      <c r="AG29" s="186">
        <f t="shared" si="18"/>
        <v>30645.580719039648</v>
      </c>
      <c r="AJ29" s="212">
        <f t="shared" si="5"/>
        <v>0.84874116570627056</v>
      </c>
      <c r="AK29" s="212">
        <f t="shared" si="5"/>
        <v>0.38600605541368771</v>
      </c>
      <c r="AL29" s="212">
        <f t="shared" si="5"/>
        <v>4.9576798445564387</v>
      </c>
      <c r="AM29" s="212">
        <f t="shared" si="5"/>
        <v>3.6145756503399693</v>
      </c>
    </row>
    <row r="30" spans="1:39" x14ac:dyDescent="0.2">
      <c r="A30" s="22">
        <v>2045</v>
      </c>
      <c r="B30" s="203">
        <f t="shared" si="10"/>
        <v>5.8625446189785695</v>
      </c>
      <c r="C30" s="203">
        <f t="shared" si="19"/>
        <v>7.66880129097345</v>
      </c>
      <c r="D30" s="203">
        <f t="shared" si="19"/>
        <v>12.824355552884008</v>
      </c>
      <c r="E30" s="203">
        <f t="shared" si="17"/>
        <v>30.627849833656057</v>
      </c>
      <c r="F30" s="203">
        <f t="shared" si="19"/>
        <v>20.801092727878789</v>
      </c>
      <c r="G30" s="203"/>
      <c r="H30" s="203"/>
      <c r="I30" s="202">
        <f t="shared" si="13"/>
        <v>6.5940740122454322</v>
      </c>
      <c r="J30" s="203">
        <v>7.8947420423053876</v>
      </c>
      <c r="K30" s="203">
        <f t="shared" si="2"/>
        <v>9.1376506261707853</v>
      </c>
      <c r="L30" s="203">
        <f t="shared" si="3"/>
        <v>15.280677657664587</v>
      </c>
      <c r="M30" s="203">
        <f t="shared" si="3"/>
        <v>36.494176937429401</v>
      </c>
      <c r="N30" s="203">
        <f t="shared" si="3"/>
        <v>24.785244887445899</v>
      </c>
      <c r="Q30" s="208">
        <f t="shared" si="20"/>
        <v>293.445431006082</v>
      </c>
      <c r="R30" s="209"/>
      <c r="U30" s="22">
        <v>2045</v>
      </c>
      <c r="V30" s="186">
        <f t="shared" si="21"/>
        <v>85748</v>
      </c>
      <c r="W30" s="186">
        <f t="shared" si="21"/>
        <v>86385.666666666599</v>
      </c>
      <c r="X30" s="186">
        <f t="shared" si="21"/>
        <v>126893</v>
      </c>
      <c r="Y30" s="186">
        <f t="shared" si="21"/>
        <v>112309.33333333337</v>
      </c>
      <c r="Z30" s="203"/>
      <c r="AA30" s="203"/>
      <c r="AB30" s="202"/>
      <c r="AC30" s="186">
        <f t="shared" si="18"/>
        <v>84486.497002834571</v>
      </c>
      <c r="AD30" s="186">
        <f t="shared" si="18"/>
        <v>1102.7542744436228</v>
      </c>
      <c r="AE30" s="186">
        <f t="shared" si="18"/>
        <v>1544.7117801750601</v>
      </c>
      <c r="AF30" s="186">
        <f t="shared" si="18"/>
        <v>38883.770805599823</v>
      </c>
      <c r="AG30" s="186">
        <f t="shared" si="18"/>
        <v>26176.455450829933</v>
      </c>
      <c r="AJ30" s="212">
        <f t="shared" si="5"/>
        <v>0.64004727899126956</v>
      </c>
      <c r="AK30" s="212">
        <f t="shared" si="5"/>
        <v>0.25230304948587623</v>
      </c>
      <c r="AL30" s="212">
        <f t="shared" si="5"/>
        <v>3.9171701846618849</v>
      </c>
      <c r="AM30" s="212">
        <f t="shared" si="5"/>
        <v>3.032490281989404</v>
      </c>
    </row>
    <row r="31" spans="1:39" x14ac:dyDescent="0.2">
      <c r="A31" s="22">
        <v>2046</v>
      </c>
      <c r="B31" s="203">
        <f t="shared" si="10"/>
        <v>5.8625446189785695</v>
      </c>
      <c r="C31" s="203">
        <f t="shared" si="19"/>
        <v>7.7986426064029555</v>
      </c>
      <c r="D31" s="203">
        <f t="shared" si="19"/>
        <v>13.174307683657556</v>
      </c>
      <c r="E31" s="203">
        <f t="shared" si="17"/>
        <v>31.445914332820127</v>
      </c>
      <c r="F31" s="203">
        <f t="shared" si="19"/>
        <v>21.444624181455335</v>
      </c>
      <c r="G31" s="203"/>
      <c r="H31" s="203"/>
      <c r="I31" s="202">
        <f t="shared" si="13"/>
        <v>6.5940740122454322</v>
      </c>
      <c r="J31" s="203">
        <v>7.8983368628838031</v>
      </c>
      <c r="K31" s="203">
        <f t="shared" si="2"/>
        <v>9.2923611907323895</v>
      </c>
      <c r="L31" s="203">
        <f t="shared" si="3"/>
        <v>15.697658119872758</v>
      </c>
      <c r="M31" s="203">
        <f t="shared" si="3"/>
        <v>37.468930005008986</v>
      </c>
      <c r="N31" s="203">
        <f t="shared" si="3"/>
        <v>25.552035597834465</v>
      </c>
      <c r="Q31" s="208">
        <f t="shared" si="20"/>
        <v>293.97270260488989</v>
      </c>
      <c r="R31" s="209"/>
      <c r="U31" s="22">
        <v>2046</v>
      </c>
      <c r="V31" s="186">
        <f t="shared" si="21"/>
        <v>85678</v>
      </c>
      <c r="W31" s="186">
        <f t="shared" si="21"/>
        <v>85982.133333333259</v>
      </c>
      <c r="X31" s="186">
        <f t="shared" si="21"/>
        <v>121090</v>
      </c>
      <c r="Y31" s="186">
        <f t="shared" si="21"/>
        <v>109704.06666666671</v>
      </c>
      <c r="Z31" s="203"/>
      <c r="AA31" s="203"/>
      <c r="AB31" s="202"/>
      <c r="AC31" s="186">
        <f t="shared" si="18"/>
        <v>84522.416710004894</v>
      </c>
      <c r="AD31" s="186">
        <f t="shared" si="18"/>
        <v>966.05743568144931</v>
      </c>
      <c r="AE31" s="186">
        <f t="shared" si="18"/>
        <v>945.72898665012781</v>
      </c>
      <c r="AF31" s="186">
        <f t="shared" si="18"/>
        <v>30800.985483962722</v>
      </c>
      <c r="AG31" s="186">
        <f t="shared" si="18"/>
        <v>22525.812465021441</v>
      </c>
      <c r="AJ31" s="212">
        <f t="shared" si="5"/>
        <v>0.50862104915646922</v>
      </c>
      <c r="AK31" s="212">
        <f t="shared" si="5"/>
        <v>0.15034202986713416</v>
      </c>
      <c r="AL31" s="212">
        <f t="shared" si="5"/>
        <v>3.0825598659824101</v>
      </c>
      <c r="AM31" s="212">
        <f t="shared" si="5"/>
        <v>2.5751700302609022</v>
      </c>
    </row>
    <row r="32" spans="1:39" x14ac:dyDescent="0.2">
      <c r="A32" s="22">
        <v>2047</v>
      </c>
      <c r="B32" s="203">
        <f t="shared" si="10"/>
        <v>5.8625446189785695</v>
      </c>
      <c r="C32" s="203">
        <f t="shared" si="19"/>
        <v>7.8953879862946348</v>
      </c>
      <c r="D32" s="203">
        <f t="shared" si="19"/>
        <v>13.435058675925273</v>
      </c>
      <c r="E32" s="203">
        <f t="shared" si="17"/>
        <v>32.055458070772268</v>
      </c>
      <c r="F32" s="203">
        <f t="shared" si="19"/>
        <v>21.924122519427037</v>
      </c>
      <c r="G32" s="203"/>
      <c r="H32" s="203"/>
      <c r="I32" s="202">
        <f t="shared" si="13"/>
        <v>6.5940740122454322</v>
      </c>
      <c r="J32" s="203">
        <v>7.9033031638622333</v>
      </c>
      <c r="K32" s="203">
        <f t="shared" si="2"/>
        <v>9.4076367660934146</v>
      </c>
      <c r="L32" s="203">
        <f t="shared" si="3"/>
        <v>16.00835223977051</v>
      </c>
      <c r="M32" s="203">
        <f t="shared" si="3"/>
        <v>38.195223138374267</v>
      </c>
      <c r="N32" s="203">
        <f t="shared" si="3"/>
        <v>26.123374992606923</v>
      </c>
      <c r="Q32" s="208">
        <f t="shared" si="20"/>
        <v>294.49997420369778</v>
      </c>
      <c r="R32" s="209"/>
      <c r="U32" s="22">
        <v>2047</v>
      </c>
      <c r="V32" s="186">
        <f t="shared" si="21"/>
        <v>85608</v>
      </c>
      <c r="W32" s="186">
        <f t="shared" si="21"/>
        <v>85578.599999999919</v>
      </c>
      <c r="X32" s="186">
        <f t="shared" si="21"/>
        <v>115287</v>
      </c>
      <c r="Y32" s="186">
        <f t="shared" si="21"/>
        <v>107098.80000000005</v>
      </c>
      <c r="Z32" s="203"/>
      <c r="AA32" s="203"/>
      <c r="AB32" s="202"/>
      <c r="AC32" s="186">
        <f t="shared" si="18"/>
        <v>84572.040348507464</v>
      </c>
      <c r="AD32" s="186">
        <f t="shared" si="18"/>
        <v>864.20397284266414</v>
      </c>
      <c r="AE32" s="186">
        <f t="shared" si="18"/>
        <v>499.42406655241393</v>
      </c>
      <c r="AF32" s="186">
        <f t="shared" si="18"/>
        <v>24778.46380865504</v>
      </c>
      <c r="AG32" s="186">
        <f t="shared" si="18"/>
        <v>19805.70106332592</v>
      </c>
      <c r="AJ32" s="212">
        <f t="shared" si="5"/>
        <v>0.42713118854296905</v>
      </c>
      <c r="AK32" s="212">
        <f t="shared" si="5"/>
        <v>7.7959508223672563E-2</v>
      </c>
      <c r="AL32" s="212">
        <f t="shared" si="5"/>
        <v>2.4692511802961215</v>
      </c>
      <c r="AM32" s="212">
        <f t="shared" si="5"/>
        <v>2.2442852802931839</v>
      </c>
    </row>
    <row r="33" spans="1:39" x14ac:dyDescent="0.2">
      <c r="A33" s="22">
        <v>2048</v>
      </c>
      <c r="B33" s="203">
        <f t="shared" si="10"/>
        <v>5.8625446189785695</v>
      </c>
      <c r="C33" s="203">
        <f t="shared" si="19"/>
        <v>7.9626473175672032</v>
      </c>
      <c r="D33" s="203">
        <f t="shared" si="19"/>
        <v>13.616338003043756</v>
      </c>
      <c r="E33" s="203">
        <f t="shared" si="17"/>
        <v>32.479225120340381</v>
      </c>
      <c r="F33" s="203">
        <f t="shared" si="19"/>
        <v>22.257479394911886</v>
      </c>
      <c r="G33" s="203"/>
      <c r="H33" s="203"/>
      <c r="I33" s="202">
        <f t="shared" si="13"/>
        <v>6.5940740122454322</v>
      </c>
      <c r="J33" s="203">
        <v>7.9078559909468771</v>
      </c>
      <c r="K33" s="203">
        <f t="shared" si="2"/>
        <v>9.4877786614430857</v>
      </c>
      <c r="L33" s="203">
        <f t="shared" si="3"/>
        <v>16.22435303234624</v>
      </c>
      <c r="M33" s="203">
        <f t="shared" si="3"/>
        <v>38.700156712594591</v>
      </c>
      <c r="N33" s="203">
        <f t="shared" si="3"/>
        <v>26.520581615446122</v>
      </c>
      <c r="Q33" s="208">
        <f t="shared" si="20"/>
        <v>295.02724580250566</v>
      </c>
      <c r="R33" s="209"/>
      <c r="U33" s="22">
        <v>2048</v>
      </c>
      <c r="V33" s="186">
        <f t="shared" si="21"/>
        <v>85538</v>
      </c>
      <c r="W33" s="186">
        <f t="shared" si="21"/>
        <v>85175.066666666578</v>
      </c>
      <c r="X33" s="186">
        <f t="shared" si="21"/>
        <v>109484</v>
      </c>
      <c r="Y33" s="186">
        <f t="shared" si="21"/>
        <v>104493.53333333338</v>
      </c>
      <c r="Z33" s="203"/>
      <c r="AA33" s="203"/>
      <c r="AB33" s="202"/>
      <c r="AC33" s="186">
        <f t="shared" si="18"/>
        <v>84617.532525963965</v>
      </c>
      <c r="AD33" s="186">
        <f t="shared" si="18"/>
        <v>793.3933997072611</v>
      </c>
      <c r="AE33" s="186">
        <f t="shared" si="18"/>
        <v>189.14392187738667</v>
      </c>
      <c r="AF33" s="186">
        <f t="shared" si="18"/>
        <v>20591.485775085952</v>
      </c>
      <c r="AG33" s="186">
        <f t="shared" si="18"/>
        <v>17914.624982279245</v>
      </c>
      <c r="AJ33" s="212">
        <f t="shared" si="5"/>
        <v>0.376769768872243</v>
      </c>
      <c r="AK33" s="212">
        <f t="shared" si="5"/>
        <v>2.9179516542509044E-2</v>
      </c>
      <c r="AL33" s="212">
        <f t="shared" si="5"/>
        <v>2.046524839358332</v>
      </c>
      <c r="AM33" s="212">
        <f t="shared" si="5"/>
        <v>2.0185501417737504</v>
      </c>
    </row>
    <row r="34" spans="1:39" x14ac:dyDescent="0.2">
      <c r="A34" s="22">
        <v>2049</v>
      </c>
      <c r="B34" s="203">
        <f t="shared" si="10"/>
        <v>5.8625446189785695</v>
      </c>
      <c r="C34" s="203">
        <f t="shared" si="19"/>
        <v>8.0071855796706686</v>
      </c>
      <c r="D34" s="203">
        <f t="shared" si="19"/>
        <v>13.736378836521915</v>
      </c>
      <c r="E34" s="203">
        <f t="shared" si="17"/>
        <v>32.759838197624639</v>
      </c>
      <c r="F34" s="203">
        <f t="shared" si="19"/>
        <v>22.478224020429622</v>
      </c>
      <c r="G34" s="203"/>
      <c r="H34" s="203"/>
      <c r="I34" s="202">
        <f t="shared" si="13"/>
        <v>6.5940740122454322</v>
      </c>
      <c r="J34" s="203">
        <v>7.9130968993474111</v>
      </c>
      <c r="K34" s="203">
        <f t="shared" si="2"/>
        <v>9.5408475914044502</v>
      </c>
      <c r="L34" s="203">
        <f t="shared" si="3"/>
        <v>16.367385972642769</v>
      </c>
      <c r="M34" s="203">
        <f t="shared" si="3"/>
        <v>39.034517216155471</v>
      </c>
      <c r="N34" s="203">
        <f t="shared" si="3"/>
        <v>26.783606720550903</v>
      </c>
      <c r="Q34" s="208">
        <f t="shared" si="20"/>
        <v>295.55451740131355</v>
      </c>
      <c r="R34" s="209"/>
      <c r="U34" s="22">
        <v>2049</v>
      </c>
      <c r="V34" s="186">
        <f t="shared" si="21"/>
        <v>85468</v>
      </c>
      <c r="W34" s="186">
        <f t="shared" si="21"/>
        <v>84771.533333333238</v>
      </c>
      <c r="X34" s="186">
        <f t="shared" si="21"/>
        <v>103681</v>
      </c>
      <c r="Y34" s="186">
        <f t="shared" si="21"/>
        <v>101888.26666666672</v>
      </c>
      <c r="Z34" s="203"/>
      <c r="AA34" s="203"/>
      <c r="AB34" s="202"/>
      <c r="AC34" s="186">
        <f t="shared" si="18"/>
        <v>84669.900061685781</v>
      </c>
      <c r="AD34" s="186">
        <f t="shared" si="18"/>
        <v>746.50355102261551</v>
      </c>
      <c r="AE34" s="186">
        <f t="shared" si="18"/>
        <v>-16.319589988854204</v>
      </c>
      <c r="AF34" s="186">
        <f t="shared" si="18"/>
        <v>17818.922897158511</v>
      </c>
      <c r="AG34" s="186">
        <f t="shared" si="18"/>
        <v>16662.378779980143</v>
      </c>
      <c r="AJ34" s="212">
        <f t="shared" si="5"/>
        <v>0.34624015341032993</v>
      </c>
      <c r="AK34" s="212">
        <f t="shared" si="5"/>
        <v>-2.500103326264208E-3</v>
      </c>
      <c r="AL34" s="212">
        <f t="shared" si="5"/>
        <v>1.7685499722863636</v>
      </c>
      <c r="AM34" s="212">
        <f t="shared" si="5"/>
        <v>1.8714098567110062</v>
      </c>
    </row>
    <row r="35" spans="1:39" x14ac:dyDescent="0.2">
      <c r="A35" s="200">
        <v>2050</v>
      </c>
      <c r="B35" s="201">
        <f t="shared" si="10"/>
        <v>5.8625446189785695</v>
      </c>
      <c r="C35" s="201">
        <f>C$3*'Class 8 Box Truck'!$G78</f>
        <v>8.0822270003887091</v>
      </c>
      <c r="D35" s="201">
        <f>D$3*'Class 8 Box Truck'!$Q78</f>
        <v>13.938632679912853</v>
      </c>
      <c r="E35" s="201">
        <f>E$3*'Class 8 Box Truck'!$L78</f>
        <v>33.232636259267764</v>
      </c>
      <c r="F35" s="201">
        <f>F$3*'Class 8 Box Truck'!$V78</f>
        <v>22.850151202416225</v>
      </c>
      <c r="G35" s="201"/>
      <c r="H35" s="201"/>
      <c r="I35" s="202">
        <f t="shared" si="13"/>
        <v>6.5940740122454322</v>
      </c>
      <c r="J35" s="203">
        <v>7.919161701164132</v>
      </c>
      <c r="K35" s="203">
        <f t="shared" si="2"/>
        <v>9.6302621242624156</v>
      </c>
      <c r="L35" s="203">
        <f t="shared" si="3"/>
        <v>16.608378650453059</v>
      </c>
      <c r="M35" s="203">
        <f t="shared" si="3"/>
        <v>39.597872992384907</v>
      </c>
      <c r="N35" s="203">
        <f t="shared" si="3"/>
        <v>27.226771241109038</v>
      </c>
      <c r="Q35" s="204">
        <f>'Class 8 Box Truck'!L73</f>
        <v>296.08178900012103</v>
      </c>
      <c r="R35" s="205"/>
      <c r="S35" s="200"/>
      <c r="U35" s="200">
        <v>2050</v>
      </c>
      <c r="V35" s="206">
        <f>'Class 8 Box Truck'!G$83</f>
        <v>85398</v>
      </c>
      <c r="W35" s="206">
        <f>'Class 8 Box Truck'!$Q$83</f>
        <v>84368</v>
      </c>
      <c r="X35" s="206">
        <f>'Class 8 Box Truck'!$L$83</f>
        <v>97878</v>
      </c>
      <c r="Y35" s="206">
        <f>'Class 8 Box Truck'!$V$83</f>
        <v>99283</v>
      </c>
      <c r="Z35" s="201"/>
      <c r="AA35" s="201"/>
      <c r="AB35" s="202"/>
      <c r="AC35" s="219">
        <f t="shared" si="8"/>
        <v>84730.5</v>
      </c>
      <c r="AD35" s="206">
        <f t="shared" ref="AD35" si="22">V35-$AC35</f>
        <v>667.5</v>
      </c>
      <c r="AE35" s="206">
        <f>W35-$AC35</f>
        <v>-362.5</v>
      </c>
      <c r="AF35" s="206">
        <f>X35-$AC35</f>
        <v>13147.5</v>
      </c>
      <c r="AG35" s="206">
        <f>Y35-$AC35</f>
        <v>14552.5</v>
      </c>
      <c r="AH35" s="200"/>
      <c r="AJ35" s="212">
        <f t="shared" si="5"/>
        <v>0.29750419266100453</v>
      </c>
      <c r="AK35" s="212">
        <f t="shared" si="5"/>
        <v>-5.4869855792903592E-2</v>
      </c>
      <c r="AL35" s="212">
        <f t="shared" si="5"/>
        <v>1.3014477676580567</v>
      </c>
      <c r="AM35" s="212">
        <f t="shared" si="5"/>
        <v>1.6251163281380456</v>
      </c>
    </row>
    <row r="37" spans="1:39" x14ac:dyDescent="0.2">
      <c r="C37" s="22">
        <f>C35/$J$35</f>
        <v>1.020591232428125</v>
      </c>
      <c r="D37" s="22">
        <f>D35/$J$35</f>
        <v>1.7601146694433387</v>
      </c>
      <c r="E37" s="22">
        <f>E35/$J$35</f>
        <v>4.1964841119966652</v>
      </c>
      <c r="K37" s="22">
        <f>K35/$J$35</f>
        <v>1.216070903419834</v>
      </c>
      <c r="L37" s="22">
        <f>L35/$J$35</f>
        <v>2.0972394903884326</v>
      </c>
      <c r="M37" s="22">
        <f>M35/$J$35</f>
        <v>5.0002606950889694</v>
      </c>
    </row>
    <row r="38" spans="1:39" ht="15" thickBot="1" x14ac:dyDescent="0.25"/>
    <row r="39" spans="1:39" x14ac:dyDescent="0.2">
      <c r="A39" s="22" t="s">
        <v>200</v>
      </c>
      <c r="B39" s="22" t="s">
        <v>203</v>
      </c>
      <c r="C39" s="213">
        <v>1.2</v>
      </c>
      <c r="D39" s="22" t="s">
        <v>224</v>
      </c>
    </row>
    <row r="40" spans="1:39" x14ac:dyDescent="0.2">
      <c r="C40" s="214">
        <v>1.2</v>
      </c>
      <c r="D40" s="22" t="s">
        <v>225</v>
      </c>
    </row>
    <row r="41" spans="1:39" ht="15" thickBot="1" x14ac:dyDescent="0.25">
      <c r="C41" s="215">
        <v>2</v>
      </c>
      <c r="D41" s="216" t="s">
        <v>226</v>
      </c>
    </row>
    <row r="42" spans="1:39" x14ac:dyDescent="0.2">
      <c r="B42" s="22" t="s">
        <v>202</v>
      </c>
      <c r="C42" s="213">
        <v>0.55000000000000004</v>
      </c>
      <c r="D42" s="22" t="s">
        <v>224</v>
      </c>
    </row>
    <row r="43" spans="1:39" x14ac:dyDescent="0.2">
      <c r="C43" s="214">
        <v>0.2</v>
      </c>
      <c r="D43" s="22" t="s">
        <v>225</v>
      </c>
    </row>
    <row r="44" spans="1:39" ht="15" thickBot="1" x14ac:dyDescent="0.25">
      <c r="C44" s="215">
        <v>0.55000000000000004</v>
      </c>
      <c r="D44" s="22" t="s">
        <v>226</v>
      </c>
    </row>
    <row r="57" spans="2:31" ht="15" thickBot="1" x14ac:dyDescent="0.25">
      <c r="B57" s="253" t="s">
        <v>318</v>
      </c>
      <c r="I57" s="257"/>
    </row>
    <row r="58" spans="2:31" ht="17" thickBot="1" x14ac:dyDescent="0.25">
      <c r="B58" s="280"/>
      <c r="C58" s="378" t="s">
        <v>305</v>
      </c>
      <c r="D58" s="379"/>
      <c r="E58" s="379"/>
      <c r="F58" s="379"/>
      <c r="G58" s="379"/>
      <c r="H58" s="379"/>
      <c r="I58" s="379" t="s">
        <v>306</v>
      </c>
      <c r="J58" s="379"/>
      <c r="K58" s="379"/>
      <c r="L58" s="379"/>
      <c r="M58" s="380"/>
      <c r="N58" s="381" t="s">
        <v>307</v>
      </c>
      <c r="O58" s="382"/>
      <c r="P58" s="382"/>
      <c r="Q58" s="382"/>
      <c r="R58" s="382"/>
      <c r="S58" s="383"/>
      <c r="T58" s="381" t="s">
        <v>308</v>
      </c>
      <c r="U58" s="382"/>
      <c r="V58" s="382"/>
      <c r="W58" s="382"/>
      <c r="X58" s="382"/>
      <c r="Y58" s="383"/>
      <c r="Z58" s="381" t="s">
        <v>309</v>
      </c>
      <c r="AA58" s="382"/>
      <c r="AB58" s="382"/>
      <c r="AC58" s="382"/>
      <c r="AD58" s="382"/>
      <c r="AE58" s="383"/>
    </row>
    <row r="59" spans="2:31" ht="15" thickBot="1" x14ac:dyDescent="0.25">
      <c r="B59" s="281" t="s">
        <v>310</v>
      </c>
      <c r="C59" s="282" t="s">
        <v>311</v>
      </c>
      <c r="D59" s="283" t="s">
        <v>312</v>
      </c>
      <c r="E59" s="284" t="s">
        <v>313</v>
      </c>
      <c r="F59" s="283" t="s">
        <v>314</v>
      </c>
      <c r="G59" s="284" t="s">
        <v>315</v>
      </c>
      <c r="H59" s="283" t="s">
        <v>316</v>
      </c>
      <c r="I59" s="283" t="s">
        <v>312</v>
      </c>
      <c r="J59" s="284" t="s">
        <v>313</v>
      </c>
      <c r="K59" s="283" t="s">
        <v>314</v>
      </c>
      <c r="L59" s="284" t="s">
        <v>315</v>
      </c>
      <c r="M59" s="285" t="s">
        <v>316</v>
      </c>
      <c r="N59" s="286" t="s">
        <v>311</v>
      </c>
      <c r="O59" s="287" t="s">
        <v>312</v>
      </c>
      <c r="P59" s="288" t="s">
        <v>313</v>
      </c>
      <c r="Q59" s="287" t="s">
        <v>314</v>
      </c>
      <c r="R59" s="288" t="s">
        <v>315</v>
      </c>
      <c r="S59" s="287" t="s">
        <v>316</v>
      </c>
      <c r="T59" s="287" t="s">
        <v>311</v>
      </c>
      <c r="U59" s="287" t="s">
        <v>312</v>
      </c>
      <c r="V59" s="288" t="s">
        <v>313</v>
      </c>
      <c r="W59" s="287" t="s">
        <v>314</v>
      </c>
      <c r="X59" s="288" t="s">
        <v>315</v>
      </c>
      <c r="Y59" s="289" t="s">
        <v>316</v>
      </c>
      <c r="Z59" s="287" t="s">
        <v>311</v>
      </c>
      <c r="AA59" s="287" t="s">
        <v>312</v>
      </c>
      <c r="AB59" s="288" t="s">
        <v>313</v>
      </c>
      <c r="AC59" s="287" t="s">
        <v>314</v>
      </c>
      <c r="AD59" s="288" t="s">
        <v>315</v>
      </c>
      <c r="AE59" s="289" t="s">
        <v>316</v>
      </c>
    </row>
    <row r="60" spans="2:31" ht="15" thickBot="1" x14ac:dyDescent="0.25">
      <c r="B60" s="291" t="s">
        <v>317</v>
      </c>
      <c r="C60" s="292"/>
      <c r="D60" s="293" t="str">
        <f>K4</f>
        <v>Adv Conv</v>
      </c>
      <c r="E60" s="293" t="str">
        <f t="shared" ref="E60:H60" si="23">L4</f>
        <v>HEV</v>
      </c>
      <c r="F60" s="293" t="str">
        <f t="shared" si="23"/>
        <v>BEV</v>
      </c>
      <c r="G60" s="293" t="str">
        <f t="shared" si="23"/>
        <v>FCEV</v>
      </c>
      <c r="H60" s="294" t="str">
        <f t="shared" si="23"/>
        <v>PHEV</v>
      </c>
      <c r="I60" s="295">
        <v>0</v>
      </c>
      <c r="J60" s="296">
        <v>0</v>
      </c>
      <c r="K60" s="296">
        <v>0</v>
      </c>
      <c r="L60" s="296">
        <v>0</v>
      </c>
      <c r="M60" s="297">
        <v>0</v>
      </c>
      <c r="N60" s="298"/>
      <c r="O60" s="293" t="str">
        <f>D60</f>
        <v>Adv Conv</v>
      </c>
      <c r="P60" s="293" t="str">
        <f t="shared" ref="P60:S60" si="24">E60</f>
        <v>HEV</v>
      </c>
      <c r="Q60" s="293" t="str">
        <f t="shared" si="24"/>
        <v>BEV</v>
      </c>
      <c r="R60" s="293" t="str">
        <f t="shared" si="24"/>
        <v>FCEV</v>
      </c>
      <c r="S60" s="294" t="str">
        <f t="shared" si="24"/>
        <v>PHEV</v>
      </c>
      <c r="T60" s="299"/>
      <c r="U60" s="293" t="str">
        <f>O60</f>
        <v>Adv Conv</v>
      </c>
      <c r="V60" s="293" t="str">
        <f t="shared" ref="V60:Y60" si="25">P60</f>
        <v>HEV</v>
      </c>
      <c r="W60" s="293" t="str">
        <f t="shared" si="25"/>
        <v>BEV</v>
      </c>
      <c r="X60" s="293" t="str">
        <f t="shared" si="25"/>
        <v>FCEV</v>
      </c>
      <c r="Y60" s="294" t="str">
        <f t="shared" si="25"/>
        <v>PHEV</v>
      </c>
      <c r="Z60" s="298"/>
      <c r="AA60" s="293" t="str">
        <f t="shared" ref="AA60:AE60" si="26">U60</f>
        <v>Adv Conv</v>
      </c>
      <c r="AB60" s="293" t="str">
        <f t="shared" si="26"/>
        <v>HEV</v>
      </c>
      <c r="AC60" s="293" t="str">
        <f t="shared" si="26"/>
        <v>BEV</v>
      </c>
      <c r="AD60" s="293" t="str">
        <f t="shared" si="26"/>
        <v>FCEV</v>
      </c>
      <c r="AE60" s="294" t="str">
        <f t="shared" si="26"/>
        <v>PHEV</v>
      </c>
    </row>
    <row r="61" spans="2:31" x14ac:dyDescent="0.2">
      <c r="B61" s="300">
        <v>2007</v>
      </c>
      <c r="C61" s="301">
        <f t="shared" ref="C61:C73" si="27">C62</f>
        <v>81898</v>
      </c>
      <c r="D61" s="302">
        <v>1000000</v>
      </c>
      <c r="E61" s="302">
        <v>1000000</v>
      </c>
      <c r="F61" s="302">
        <v>1000000</v>
      </c>
      <c r="G61" s="302">
        <v>1000000</v>
      </c>
      <c r="H61" s="303">
        <v>1000000</v>
      </c>
      <c r="I61" s="304">
        <f>D61*I60</f>
        <v>0</v>
      </c>
      <c r="J61" s="305">
        <f>E61*J60</f>
        <v>0</v>
      </c>
      <c r="K61" s="305">
        <f>F61*K60</f>
        <v>0</v>
      </c>
      <c r="L61" s="305">
        <f>G61*L60</f>
        <v>0</v>
      </c>
      <c r="M61" s="306">
        <f>H61*M60</f>
        <v>0</v>
      </c>
      <c r="N61" s="371">
        <v>5.9278738513698928</v>
      </c>
      <c r="O61" s="308">
        <v>1</v>
      </c>
      <c r="P61" s="308">
        <v>1</v>
      </c>
      <c r="Q61" s="308">
        <v>1</v>
      </c>
      <c r="R61" s="308">
        <v>1</v>
      </c>
      <c r="S61" s="309">
        <v>1</v>
      </c>
      <c r="T61" s="310">
        <v>1</v>
      </c>
      <c r="U61" s="311">
        <v>1</v>
      </c>
      <c r="V61" s="311">
        <v>1</v>
      </c>
      <c r="W61" s="311">
        <v>1</v>
      </c>
      <c r="X61" s="311">
        <v>1</v>
      </c>
      <c r="Y61" s="312">
        <v>1</v>
      </c>
      <c r="Z61" s="310">
        <v>0</v>
      </c>
      <c r="AA61" s="311">
        <v>0</v>
      </c>
      <c r="AB61" s="311">
        <v>0</v>
      </c>
      <c r="AC61" s="311">
        <v>0</v>
      </c>
      <c r="AD61" s="311">
        <v>0</v>
      </c>
      <c r="AE61" s="312">
        <v>0</v>
      </c>
    </row>
    <row r="62" spans="2:31" x14ac:dyDescent="0.2">
      <c r="B62" s="313">
        <v>2008</v>
      </c>
      <c r="C62" s="314">
        <f t="shared" si="27"/>
        <v>81898</v>
      </c>
      <c r="D62" s="315">
        <v>1000000</v>
      </c>
      <c r="E62" s="315">
        <v>1000000</v>
      </c>
      <c r="F62" s="315">
        <v>1000000</v>
      </c>
      <c r="G62" s="315">
        <v>1000000</v>
      </c>
      <c r="H62" s="316">
        <v>1000000</v>
      </c>
      <c r="I62" s="317">
        <f>D62*I60</f>
        <v>0</v>
      </c>
      <c r="J62" s="318">
        <f>E62*J60</f>
        <v>0</v>
      </c>
      <c r="K62" s="318">
        <f>F62*K60</f>
        <v>0</v>
      </c>
      <c r="L62" s="318">
        <f>G62*L60</f>
        <v>0</v>
      </c>
      <c r="M62" s="319">
        <f>H62*M60</f>
        <v>0</v>
      </c>
      <c r="N62" s="372">
        <v>5.9278738513698928</v>
      </c>
      <c r="O62" s="321">
        <v>1</v>
      </c>
      <c r="P62" s="321">
        <v>1</v>
      </c>
      <c r="Q62" s="321">
        <v>1</v>
      </c>
      <c r="R62" s="321">
        <v>1</v>
      </c>
      <c r="S62" s="322">
        <v>1</v>
      </c>
      <c r="T62" s="323">
        <v>1</v>
      </c>
      <c r="U62" s="324">
        <v>1</v>
      </c>
      <c r="V62" s="324">
        <v>1</v>
      </c>
      <c r="W62" s="324">
        <v>1</v>
      </c>
      <c r="X62" s="324">
        <v>1</v>
      </c>
      <c r="Y62" s="325">
        <v>1</v>
      </c>
      <c r="Z62" s="323">
        <v>0</v>
      </c>
      <c r="AA62" s="324">
        <v>0</v>
      </c>
      <c r="AB62" s="324">
        <v>0</v>
      </c>
      <c r="AC62" s="324">
        <v>0</v>
      </c>
      <c r="AD62" s="324">
        <v>0</v>
      </c>
      <c r="AE62" s="325">
        <v>0</v>
      </c>
    </row>
    <row r="63" spans="2:31" x14ac:dyDescent="0.2">
      <c r="B63" s="313">
        <v>2009</v>
      </c>
      <c r="C63" s="314">
        <f t="shared" si="27"/>
        <v>81898</v>
      </c>
      <c r="D63" s="315">
        <v>1000000</v>
      </c>
      <c r="E63" s="315">
        <v>1000000</v>
      </c>
      <c r="F63" s="315">
        <v>1000000</v>
      </c>
      <c r="G63" s="315">
        <v>1000000</v>
      </c>
      <c r="H63" s="316">
        <v>1000000</v>
      </c>
      <c r="I63" s="317">
        <f>D63*I60</f>
        <v>0</v>
      </c>
      <c r="J63" s="318">
        <f>E63*J60</f>
        <v>0</v>
      </c>
      <c r="K63" s="318">
        <f>F63*K60</f>
        <v>0</v>
      </c>
      <c r="L63" s="318">
        <f>G63*L60</f>
        <v>0</v>
      </c>
      <c r="M63" s="319">
        <f>H63*M60</f>
        <v>0</v>
      </c>
      <c r="N63" s="372">
        <v>5.9278738513698928</v>
      </c>
      <c r="O63" s="321">
        <v>1</v>
      </c>
      <c r="P63" s="321">
        <v>1</v>
      </c>
      <c r="Q63" s="321">
        <v>1</v>
      </c>
      <c r="R63" s="321">
        <v>1</v>
      </c>
      <c r="S63" s="322">
        <v>1</v>
      </c>
      <c r="T63" s="323">
        <v>1</v>
      </c>
      <c r="U63" s="324">
        <v>1</v>
      </c>
      <c r="V63" s="324">
        <v>1</v>
      </c>
      <c r="W63" s="324">
        <v>1</v>
      </c>
      <c r="X63" s="324">
        <v>1</v>
      </c>
      <c r="Y63" s="325">
        <v>1</v>
      </c>
      <c r="Z63" s="323">
        <v>0</v>
      </c>
      <c r="AA63" s="324">
        <v>0</v>
      </c>
      <c r="AB63" s="324">
        <v>0</v>
      </c>
      <c r="AC63" s="324">
        <v>0</v>
      </c>
      <c r="AD63" s="324">
        <v>0</v>
      </c>
      <c r="AE63" s="325">
        <v>0</v>
      </c>
    </row>
    <row r="64" spans="2:31" ht="15" thickBot="1" x14ac:dyDescent="0.25">
      <c r="B64" s="326">
        <v>2010</v>
      </c>
      <c r="C64" s="373">
        <f t="shared" si="27"/>
        <v>81898</v>
      </c>
      <c r="D64" s="328">
        <v>1000000</v>
      </c>
      <c r="E64" s="328">
        <v>1000000</v>
      </c>
      <c r="F64" s="328">
        <v>1000000</v>
      </c>
      <c r="G64" s="328">
        <v>1000000</v>
      </c>
      <c r="H64" s="329">
        <v>1000000</v>
      </c>
      <c r="I64" s="330">
        <f>D64*I60</f>
        <v>0</v>
      </c>
      <c r="J64" s="331">
        <f>E64*J60</f>
        <v>0</v>
      </c>
      <c r="K64" s="331">
        <f>F64*K60</f>
        <v>0</v>
      </c>
      <c r="L64" s="331">
        <f>G64*L60</f>
        <v>0</v>
      </c>
      <c r="M64" s="332">
        <f>H64*M60</f>
        <v>0</v>
      </c>
      <c r="N64" s="374">
        <v>5.6529804659012148</v>
      </c>
      <c r="O64" s="334">
        <v>1</v>
      </c>
      <c r="P64" s="334">
        <v>1</v>
      </c>
      <c r="Q64" s="334">
        <v>1</v>
      </c>
      <c r="R64" s="334">
        <v>1</v>
      </c>
      <c r="S64" s="335">
        <v>1</v>
      </c>
      <c r="T64" s="336">
        <v>1</v>
      </c>
      <c r="U64" s="337">
        <v>1</v>
      </c>
      <c r="V64" s="337">
        <v>1</v>
      </c>
      <c r="W64" s="337">
        <v>1</v>
      </c>
      <c r="X64" s="337">
        <v>1</v>
      </c>
      <c r="Y64" s="338">
        <v>1</v>
      </c>
      <c r="Z64" s="336">
        <v>0</v>
      </c>
      <c r="AA64" s="337">
        <v>0</v>
      </c>
      <c r="AB64" s="337">
        <v>0</v>
      </c>
      <c r="AC64" s="337">
        <v>0</v>
      </c>
      <c r="AD64" s="337">
        <v>0</v>
      </c>
      <c r="AE64" s="338">
        <v>0</v>
      </c>
    </row>
    <row r="65" spans="2:31" x14ac:dyDescent="0.2">
      <c r="B65" s="300">
        <v>2011</v>
      </c>
      <c r="C65" s="339">
        <f t="shared" si="27"/>
        <v>81898</v>
      </c>
      <c r="D65" s="340">
        <v>1000000</v>
      </c>
      <c r="E65" s="340">
        <v>1000000</v>
      </c>
      <c r="F65" s="340">
        <v>1000000</v>
      </c>
      <c r="G65" s="340">
        <v>1000000</v>
      </c>
      <c r="H65" s="341">
        <v>1000000</v>
      </c>
      <c r="I65" s="304">
        <f>D65*I60</f>
        <v>0</v>
      </c>
      <c r="J65" s="305">
        <f>E65*J60</f>
        <v>0</v>
      </c>
      <c r="K65" s="305">
        <f>F65*K60</f>
        <v>0</v>
      </c>
      <c r="L65" s="305">
        <f>G65*L60</f>
        <v>0</v>
      </c>
      <c r="M65" s="306">
        <f>H65*M60</f>
        <v>0</v>
      </c>
      <c r="N65" s="375">
        <v>5.7697883792198912</v>
      </c>
      <c r="O65" s="343">
        <v>1</v>
      </c>
      <c r="P65" s="343">
        <v>1</v>
      </c>
      <c r="Q65" s="343">
        <v>1</v>
      </c>
      <c r="R65" s="343">
        <v>1</v>
      </c>
      <c r="S65" s="344">
        <v>1</v>
      </c>
      <c r="T65" s="345">
        <v>1</v>
      </c>
      <c r="U65" s="346">
        <v>1</v>
      </c>
      <c r="V65" s="346">
        <v>1</v>
      </c>
      <c r="W65" s="346">
        <v>1</v>
      </c>
      <c r="X65" s="346">
        <v>1</v>
      </c>
      <c r="Y65" s="347">
        <v>1</v>
      </c>
      <c r="Z65" s="345">
        <v>0</v>
      </c>
      <c r="AA65" s="346">
        <v>0</v>
      </c>
      <c r="AB65" s="346">
        <v>0</v>
      </c>
      <c r="AC65" s="346">
        <v>0</v>
      </c>
      <c r="AD65" s="346">
        <v>0</v>
      </c>
      <c r="AE65" s="347">
        <v>0</v>
      </c>
    </row>
    <row r="66" spans="2:31" x14ac:dyDescent="0.2">
      <c r="B66" s="313">
        <v>2012</v>
      </c>
      <c r="C66" s="314">
        <f t="shared" si="27"/>
        <v>81898</v>
      </c>
      <c r="D66" s="315">
        <v>1000000</v>
      </c>
      <c r="E66" s="315">
        <v>1000000</v>
      </c>
      <c r="F66" s="315">
        <v>1000000</v>
      </c>
      <c r="G66" s="315">
        <v>1000000</v>
      </c>
      <c r="H66" s="316">
        <v>1000000</v>
      </c>
      <c r="I66" s="317">
        <f>D66*I60</f>
        <v>0</v>
      </c>
      <c r="J66" s="318">
        <f>E66*J60</f>
        <v>0</v>
      </c>
      <c r="K66" s="318">
        <f>F66*K60</f>
        <v>0</v>
      </c>
      <c r="L66" s="318">
        <f>G66*L60</f>
        <v>0</v>
      </c>
      <c r="M66" s="319">
        <f>H66*M60</f>
        <v>0</v>
      </c>
      <c r="N66" s="372">
        <v>5.8156338758937807</v>
      </c>
      <c r="O66" s="321">
        <v>1</v>
      </c>
      <c r="P66" s="321">
        <v>1</v>
      </c>
      <c r="Q66" s="321">
        <v>1</v>
      </c>
      <c r="R66" s="321">
        <v>1</v>
      </c>
      <c r="S66" s="322">
        <v>1</v>
      </c>
      <c r="T66" s="323">
        <v>1</v>
      </c>
      <c r="U66" s="324">
        <v>1</v>
      </c>
      <c r="V66" s="324">
        <v>1</v>
      </c>
      <c r="W66" s="324">
        <v>1</v>
      </c>
      <c r="X66" s="324">
        <v>1</v>
      </c>
      <c r="Y66" s="325">
        <v>1</v>
      </c>
      <c r="Z66" s="323">
        <v>0</v>
      </c>
      <c r="AA66" s="324">
        <v>0</v>
      </c>
      <c r="AB66" s="324">
        <v>0</v>
      </c>
      <c r="AC66" s="324">
        <v>0</v>
      </c>
      <c r="AD66" s="324">
        <v>0</v>
      </c>
      <c r="AE66" s="325">
        <v>0</v>
      </c>
    </row>
    <row r="67" spans="2:31" x14ac:dyDescent="0.2">
      <c r="B67" s="313">
        <v>2013</v>
      </c>
      <c r="C67" s="314">
        <f t="shared" si="27"/>
        <v>81898</v>
      </c>
      <c r="D67" s="315">
        <v>1000000</v>
      </c>
      <c r="E67" s="315">
        <v>1000000</v>
      </c>
      <c r="F67" s="315">
        <v>1000000</v>
      </c>
      <c r="G67" s="315">
        <v>1000000</v>
      </c>
      <c r="H67" s="316">
        <v>1000000</v>
      </c>
      <c r="I67" s="317">
        <f>D67*I60</f>
        <v>0</v>
      </c>
      <c r="J67" s="318">
        <f>E67*J60</f>
        <v>0</v>
      </c>
      <c r="K67" s="318">
        <f>F67*K60</f>
        <v>0</v>
      </c>
      <c r="L67" s="318">
        <f>G67*L60</f>
        <v>0</v>
      </c>
      <c r="M67" s="319">
        <f>H67*M60</f>
        <v>0</v>
      </c>
      <c r="N67" s="372">
        <v>5.9244625288706905</v>
      </c>
      <c r="O67" s="321">
        <v>1</v>
      </c>
      <c r="P67" s="321">
        <v>1</v>
      </c>
      <c r="Q67" s="321">
        <v>1</v>
      </c>
      <c r="R67" s="321">
        <v>1</v>
      </c>
      <c r="S67" s="322">
        <v>1</v>
      </c>
      <c r="T67" s="323">
        <v>1</v>
      </c>
      <c r="U67" s="324">
        <v>1</v>
      </c>
      <c r="V67" s="324">
        <v>1</v>
      </c>
      <c r="W67" s="324">
        <v>1</v>
      </c>
      <c r="X67" s="324">
        <v>1</v>
      </c>
      <c r="Y67" s="325">
        <v>1</v>
      </c>
      <c r="Z67" s="323">
        <v>0</v>
      </c>
      <c r="AA67" s="324">
        <v>0</v>
      </c>
      <c r="AB67" s="324">
        <v>0</v>
      </c>
      <c r="AC67" s="324">
        <v>0</v>
      </c>
      <c r="AD67" s="324">
        <v>0</v>
      </c>
      <c r="AE67" s="325">
        <v>0</v>
      </c>
    </row>
    <row r="68" spans="2:31" x14ac:dyDescent="0.2">
      <c r="B68" s="313">
        <v>2014</v>
      </c>
      <c r="C68" s="314">
        <f t="shared" si="27"/>
        <v>81898</v>
      </c>
      <c r="D68" s="315">
        <v>1000000</v>
      </c>
      <c r="E68" s="315">
        <v>1000000</v>
      </c>
      <c r="F68" s="315">
        <v>1000000</v>
      </c>
      <c r="G68" s="315">
        <v>1000000</v>
      </c>
      <c r="H68" s="316">
        <v>1000000</v>
      </c>
      <c r="I68" s="317">
        <f>D68*I60</f>
        <v>0</v>
      </c>
      <c r="J68" s="318">
        <f>E68*J60</f>
        <v>0</v>
      </c>
      <c r="K68" s="318">
        <f>F68*K60</f>
        <v>0</v>
      </c>
      <c r="L68" s="318">
        <f>G68*L60</f>
        <v>0</v>
      </c>
      <c r="M68" s="319">
        <f>H68*M60</f>
        <v>0</v>
      </c>
      <c r="N68" s="372">
        <v>6.0583595281689906</v>
      </c>
      <c r="O68" s="321">
        <v>1</v>
      </c>
      <c r="P68" s="321">
        <v>1</v>
      </c>
      <c r="Q68" s="321">
        <v>1</v>
      </c>
      <c r="R68" s="321">
        <v>1</v>
      </c>
      <c r="S68" s="322">
        <v>1</v>
      </c>
      <c r="T68" s="323">
        <v>1</v>
      </c>
      <c r="U68" s="324">
        <v>1</v>
      </c>
      <c r="V68" s="324">
        <v>1</v>
      </c>
      <c r="W68" s="324">
        <v>1</v>
      </c>
      <c r="X68" s="324">
        <v>1</v>
      </c>
      <c r="Y68" s="325">
        <v>1</v>
      </c>
      <c r="Z68" s="323">
        <v>0</v>
      </c>
      <c r="AA68" s="324">
        <v>0</v>
      </c>
      <c r="AB68" s="324">
        <v>0</v>
      </c>
      <c r="AC68" s="324">
        <v>0</v>
      </c>
      <c r="AD68" s="324">
        <v>0</v>
      </c>
      <c r="AE68" s="325">
        <v>0</v>
      </c>
    </row>
    <row r="69" spans="2:31" ht="15" thickBot="1" x14ac:dyDescent="0.25">
      <c r="B69" s="326">
        <v>2015</v>
      </c>
      <c r="C69" s="327">
        <f t="shared" si="27"/>
        <v>81898</v>
      </c>
      <c r="D69" s="328">
        <v>1000000</v>
      </c>
      <c r="E69" s="328">
        <v>1000000</v>
      </c>
      <c r="F69" s="328">
        <v>1000000</v>
      </c>
      <c r="G69" s="328">
        <v>1000000</v>
      </c>
      <c r="H69" s="329">
        <v>1000000</v>
      </c>
      <c r="I69" s="330">
        <f>D69*I60</f>
        <v>0</v>
      </c>
      <c r="J69" s="331">
        <f>E69*J60</f>
        <v>0</v>
      </c>
      <c r="K69" s="331">
        <f>F69*K60</f>
        <v>0</v>
      </c>
      <c r="L69" s="331">
        <f>G69*L60</f>
        <v>0</v>
      </c>
      <c r="M69" s="332">
        <f>H69*M60</f>
        <v>0</v>
      </c>
      <c r="N69" s="374">
        <v>6.1703756815216178</v>
      </c>
      <c r="O69" s="334">
        <v>1</v>
      </c>
      <c r="P69" s="334">
        <v>1</v>
      </c>
      <c r="Q69" s="348">
        <v>1</v>
      </c>
      <c r="R69" s="348">
        <v>1</v>
      </c>
      <c r="S69" s="349">
        <v>1</v>
      </c>
      <c r="T69" s="336">
        <v>1</v>
      </c>
      <c r="U69" s="337">
        <v>1</v>
      </c>
      <c r="V69" s="337">
        <v>1</v>
      </c>
      <c r="W69" s="337">
        <v>1</v>
      </c>
      <c r="X69" s="337">
        <v>1</v>
      </c>
      <c r="Y69" s="338">
        <v>1</v>
      </c>
      <c r="Z69" s="336">
        <v>0</v>
      </c>
      <c r="AA69" s="337">
        <v>0</v>
      </c>
      <c r="AB69" s="337">
        <v>0</v>
      </c>
      <c r="AC69" s="337">
        <v>0</v>
      </c>
      <c r="AD69" s="337">
        <v>0</v>
      </c>
      <c r="AE69" s="338">
        <v>0</v>
      </c>
    </row>
    <row r="70" spans="2:31" x14ac:dyDescent="0.2">
      <c r="B70" s="300">
        <v>2016</v>
      </c>
      <c r="C70" s="339">
        <f t="shared" si="27"/>
        <v>81898</v>
      </c>
      <c r="D70" s="340">
        <v>1000000</v>
      </c>
      <c r="E70" s="340">
        <v>1000000</v>
      </c>
      <c r="F70" s="340">
        <v>1000000</v>
      </c>
      <c r="G70" s="340">
        <v>1000000</v>
      </c>
      <c r="H70" s="341">
        <v>1000000</v>
      </c>
      <c r="I70" s="304">
        <f>D70*I60</f>
        <v>0</v>
      </c>
      <c r="J70" s="305">
        <f>E70*J60</f>
        <v>0</v>
      </c>
      <c r="K70" s="305">
        <f>F70*K60</f>
        <v>0</v>
      </c>
      <c r="L70" s="305">
        <f>G70*L60</f>
        <v>0</v>
      </c>
      <c r="M70" s="306">
        <f>H70*M60</f>
        <v>0</v>
      </c>
      <c r="N70" s="375">
        <v>6.2992037959414615</v>
      </c>
      <c r="O70" s="321">
        <v>1</v>
      </c>
      <c r="P70" s="321">
        <v>1</v>
      </c>
      <c r="Q70" s="350">
        <v>1</v>
      </c>
      <c r="R70" s="350">
        <v>1</v>
      </c>
      <c r="S70" s="351">
        <v>1</v>
      </c>
      <c r="T70" s="345">
        <v>1</v>
      </c>
      <c r="U70" s="346">
        <v>1</v>
      </c>
      <c r="V70" s="346">
        <v>1</v>
      </c>
      <c r="W70" s="346">
        <v>1</v>
      </c>
      <c r="X70" s="346">
        <v>1</v>
      </c>
      <c r="Y70" s="347">
        <v>1</v>
      </c>
      <c r="Z70" s="345">
        <v>0</v>
      </c>
      <c r="AA70" s="346">
        <v>0</v>
      </c>
      <c r="AB70" s="346">
        <v>0</v>
      </c>
      <c r="AC70" s="346">
        <v>0</v>
      </c>
      <c r="AD70" s="346">
        <v>0</v>
      </c>
      <c r="AE70" s="347">
        <v>0</v>
      </c>
    </row>
    <row r="71" spans="2:31" x14ac:dyDescent="0.2">
      <c r="B71" s="313">
        <v>2017</v>
      </c>
      <c r="C71" s="314">
        <f t="shared" si="27"/>
        <v>81898</v>
      </c>
      <c r="D71" s="315">
        <v>1000000</v>
      </c>
      <c r="E71" s="315">
        <v>1000000</v>
      </c>
      <c r="F71" s="315">
        <v>1000000</v>
      </c>
      <c r="G71" s="315">
        <v>1000000</v>
      </c>
      <c r="H71" s="316">
        <v>1000000</v>
      </c>
      <c r="I71" s="317">
        <f>D71*I60</f>
        <v>0</v>
      </c>
      <c r="J71" s="318">
        <f>E71*J60</f>
        <v>0</v>
      </c>
      <c r="K71" s="318">
        <f>F71*K60</f>
        <v>0</v>
      </c>
      <c r="L71" s="318">
        <f>G71*L60</f>
        <v>0</v>
      </c>
      <c r="M71" s="319">
        <f>H71*M60</f>
        <v>0</v>
      </c>
      <c r="N71" s="372">
        <v>6.429880170141046</v>
      </c>
      <c r="O71" s="321">
        <v>1</v>
      </c>
      <c r="P71" s="321">
        <v>1</v>
      </c>
      <c r="Q71" s="350">
        <v>1</v>
      </c>
      <c r="R71" s="350">
        <v>1</v>
      </c>
      <c r="S71" s="351">
        <v>1</v>
      </c>
      <c r="T71" s="323">
        <v>1</v>
      </c>
      <c r="U71" s="324">
        <v>1</v>
      </c>
      <c r="V71" s="324">
        <v>1</v>
      </c>
      <c r="W71" s="324">
        <v>1</v>
      </c>
      <c r="X71" s="324">
        <v>1</v>
      </c>
      <c r="Y71" s="325">
        <v>1</v>
      </c>
      <c r="Z71" s="323">
        <v>0</v>
      </c>
      <c r="AA71" s="324">
        <v>0</v>
      </c>
      <c r="AB71" s="324">
        <v>0</v>
      </c>
      <c r="AC71" s="324">
        <v>0</v>
      </c>
      <c r="AD71" s="324">
        <v>0</v>
      </c>
      <c r="AE71" s="325">
        <v>0</v>
      </c>
    </row>
    <row r="72" spans="2:31" x14ac:dyDescent="0.2">
      <c r="B72" s="313">
        <v>2018</v>
      </c>
      <c r="C72" s="314">
        <f t="shared" si="27"/>
        <v>81898</v>
      </c>
      <c r="D72" s="315">
        <v>1000000</v>
      </c>
      <c r="E72" s="315">
        <v>1000000</v>
      </c>
      <c r="F72" s="315">
        <v>1000000</v>
      </c>
      <c r="G72" s="315">
        <v>1000000</v>
      </c>
      <c r="H72" s="316">
        <v>1000000</v>
      </c>
      <c r="I72" s="317">
        <f>D72*I60</f>
        <v>0</v>
      </c>
      <c r="J72" s="318">
        <f>E72*J60</f>
        <v>0</v>
      </c>
      <c r="K72" s="318">
        <f>F72*K60</f>
        <v>0</v>
      </c>
      <c r="L72" s="318">
        <f>G72*L60</f>
        <v>0</v>
      </c>
      <c r="M72" s="319">
        <f>H72*M60</f>
        <v>0</v>
      </c>
      <c r="N72" s="372">
        <v>6.3927777584473002</v>
      </c>
      <c r="O72" s="321">
        <v>1</v>
      </c>
      <c r="P72" s="321">
        <v>1</v>
      </c>
      <c r="Q72" s="350">
        <v>1</v>
      </c>
      <c r="R72" s="350">
        <v>1</v>
      </c>
      <c r="S72" s="351">
        <v>1</v>
      </c>
      <c r="T72" s="323">
        <v>1</v>
      </c>
      <c r="U72" s="324">
        <v>1</v>
      </c>
      <c r="V72" s="324">
        <v>1</v>
      </c>
      <c r="W72" s="324">
        <v>1</v>
      </c>
      <c r="X72" s="324">
        <v>1</v>
      </c>
      <c r="Y72" s="325">
        <v>1</v>
      </c>
      <c r="Z72" s="323">
        <v>0</v>
      </c>
      <c r="AA72" s="324">
        <v>0</v>
      </c>
      <c r="AB72" s="324">
        <v>0</v>
      </c>
      <c r="AC72" s="324">
        <v>0</v>
      </c>
      <c r="AD72" s="324">
        <v>0</v>
      </c>
      <c r="AE72" s="325">
        <v>0</v>
      </c>
    </row>
    <row r="73" spans="2:31" x14ac:dyDescent="0.2">
      <c r="B73" s="313">
        <v>2019</v>
      </c>
      <c r="C73" s="314">
        <f t="shared" si="27"/>
        <v>81898</v>
      </c>
      <c r="D73" s="315">
        <v>1000000</v>
      </c>
      <c r="E73" s="315">
        <v>1000000</v>
      </c>
      <c r="F73" s="315">
        <v>1000000</v>
      </c>
      <c r="G73" s="315">
        <v>1000000</v>
      </c>
      <c r="H73" s="316">
        <v>1000000</v>
      </c>
      <c r="I73" s="317">
        <f>D73*I60</f>
        <v>0</v>
      </c>
      <c r="J73" s="318">
        <f>E73*J60</f>
        <v>0</v>
      </c>
      <c r="K73" s="318">
        <f>F73*K60</f>
        <v>0</v>
      </c>
      <c r="L73" s="318">
        <f>G73*L60</f>
        <v>0</v>
      </c>
      <c r="M73" s="319">
        <f>H73*M60</f>
        <v>0</v>
      </c>
      <c r="N73" s="372">
        <v>6.4333520263174488</v>
      </c>
      <c r="O73" s="321">
        <v>1</v>
      </c>
      <c r="P73" s="321">
        <v>1</v>
      </c>
      <c r="Q73" s="350">
        <v>1</v>
      </c>
      <c r="R73" s="350">
        <v>1</v>
      </c>
      <c r="S73" s="351">
        <v>1</v>
      </c>
      <c r="T73" s="323">
        <v>1</v>
      </c>
      <c r="U73" s="324">
        <v>1</v>
      </c>
      <c r="V73" s="324">
        <v>1</v>
      </c>
      <c r="W73" s="324">
        <v>1</v>
      </c>
      <c r="X73" s="324">
        <v>1</v>
      </c>
      <c r="Y73" s="325">
        <v>1</v>
      </c>
      <c r="Z73" s="323">
        <v>0</v>
      </c>
      <c r="AA73" s="324">
        <v>0</v>
      </c>
      <c r="AB73" s="324">
        <v>0</v>
      </c>
      <c r="AC73" s="324">
        <v>0</v>
      </c>
      <c r="AD73" s="324">
        <v>0</v>
      </c>
      <c r="AE73" s="325">
        <v>0</v>
      </c>
    </row>
    <row r="74" spans="2:31" ht="15" thickBot="1" x14ac:dyDescent="0.25">
      <c r="B74" s="326">
        <v>2020</v>
      </c>
      <c r="C74" s="327">
        <f>C75</f>
        <v>81898</v>
      </c>
      <c r="D74" s="328">
        <v>1000000</v>
      </c>
      <c r="E74" s="328">
        <v>1000000</v>
      </c>
      <c r="F74" s="328">
        <v>1000000</v>
      </c>
      <c r="G74" s="328">
        <v>1000000</v>
      </c>
      <c r="H74" s="329">
        <v>1000000</v>
      </c>
      <c r="I74" s="330">
        <f>D74*I60</f>
        <v>0</v>
      </c>
      <c r="J74" s="331">
        <f>E74*J60</f>
        <v>0</v>
      </c>
      <c r="K74" s="331">
        <f>F74*K60</f>
        <v>0</v>
      </c>
      <c r="L74" s="331">
        <f>G74*L60</f>
        <v>0</v>
      </c>
      <c r="M74" s="332">
        <f>H74*M60</f>
        <v>0</v>
      </c>
      <c r="N74" s="374">
        <v>6.4864337636120455</v>
      </c>
      <c r="O74" s="334">
        <v>1</v>
      </c>
      <c r="P74" s="334">
        <v>1</v>
      </c>
      <c r="Q74" s="348">
        <v>1</v>
      </c>
      <c r="R74" s="348">
        <v>1</v>
      </c>
      <c r="S74" s="349">
        <v>1</v>
      </c>
      <c r="T74" s="336">
        <v>1</v>
      </c>
      <c r="U74" s="337">
        <v>1</v>
      </c>
      <c r="V74" s="337">
        <v>1</v>
      </c>
      <c r="W74" s="337">
        <v>1</v>
      </c>
      <c r="X74" s="337">
        <v>1</v>
      </c>
      <c r="Y74" s="338">
        <v>1</v>
      </c>
      <c r="Z74" s="336">
        <v>0</v>
      </c>
      <c r="AA74" s="337">
        <v>0</v>
      </c>
      <c r="AB74" s="337">
        <v>0</v>
      </c>
      <c r="AC74" s="337">
        <v>0</v>
      </c>
      <c r="AD74" s="337">
        <v>0</v>
      </c>
      <c r="AE74" s="338">
        <v>0</v>
      </c>
    </row>
    <row r="75" spans="2:31" x14ac:dyDescent="0.2">
      <c r="B75" s="300">
        <v>2021</v>
      </c>
      <c r="C75" s="339">
        <f>AC6</f>
        <v>81898</v>
      </c>
      <c r="D75" s="340">
        <f>AD6</f>
        <v>0</v>
      </c>
      <c r="E75" s="340">
        <f t="shared" ref="E75:H75" si="28">AE6</f>
        <v>6764</v>
      </c>
      <c r="F75" s="340">
        <f t="shared" si="28"/>
        <v>322656</v>
      </c>
      <c r="G75" s="340">
        <f t="shared" si="28"/>
        <v>110885</v>
      </c>
      <c r="H75" s="341">
        <f t="shared" si="28"/>
        <v>0</v>
      </c>
      <c r="I75" s="304">
        <f>D75*I60</f>
        <v>0</v>
      </c>
      <c r="J75" s="305">
        <f>E75*J60</f>
        <v>0</v>
      </c>
      <c r="K75" s="305">
        <f>F75*K60</f>
        <v>0</v>
      </c>
      <c r="L75" s="305">
        <f>G75*L60</f>
        <v>0</v>
      </c>
      <c r="M75" s="306">
        <f>H75*M60</f>
        <v>0</v>
      </c>
      <c r="N75" s="375">
        <f>J6</f>
        <v>6.1940987651005122</v>
      </c>
      <c r="O75" s="343">
        <f>MAX(K6,1)</f>
        <v>6.2615821752815934</v>
      </c>
      <c r="P75" s="343">
        <f t="shared" ref="P75:S75" si="29">MAX(L6,1)</f>
        <v>9.1754044778337533</v>
      </c>
      <c r="Q75" s="350">
        <f t="shared" si="29"/>
        <v>23.280326203585055</v>
      </c>
      <c r="R75" s="350">
        <f t="shared" si="29"/>
        <v>14.926377042494044</v>
      </c>
      <c r="S75" s="351">
        <f t="shared" si="29"/>
        <v>1</v>
      </c>
      <c r="T75" s="345">
        <v>1</v>
      </c>
      <c r="U75" s="346">
        <v>1</v>
      </c>
      <c r="V75" s="346">
        <v>1</v>
      </c>
      <c r="W75" s="346">
        <v>1</v>
      </c>
      <c r="X75" s="346">
        <v>1</v>
      </c>
      <c r="Y75" s="347">
        <f>MAX(P6,1)</f>
        <v>1</v>
      </c>
      <c r="Z75" s="345">
        <v>0</v>
      </c>
      <c r="AA75" s="346">
        <v>0</v>
      </c>
      <c r="AB75" s="346">
        <v>0</v>
      </c>
      <c r="AC75" s="346">
        <f>Q6</f>
        <v>275.10009767549849</v>
      </c>
      <c r="AD75" s="346">
        <f t="shared" ref="AD75:AE90" si="30">R6</f>
        <v>0</v>
      </c>
      <c r="AE75" s="347">
        <f>S6</f>
        <v>0</v>
      </c>
    </row>
    <row r="76" spans="2:31" x14ac:dyDescent="0.2">
      <c r="B76" s="313">
        <v>2022</v>
      </c>
      <c r="C76" s="314">
        <f t="shared" ref="C76:H91" si="31">AC7</f>
        <v>82009.100849793598</v>
      </c>
      <c r="D76" s="315">
        <f t="shared" si="31"/>
        <v>23.830102902613042</v>
      </c>
      <c r="E76" s="315">
        <f t="shared" si="31"/>
        <v>6574.8338647614382</v>
      </c>
      <c r="F76" s="315">
        <f t="shared" si="31"/>
        <v>305056.53931182483</v>
      </c>
      <c r="G76" s="315">
        <f t="shared" si="31"/>
        <v>105267.69975247007</v>
      </c>
      <c r="H76" s="316">
        <f t="shared" si="31"/>
        <v>0</v>
      </c>
      <c r="I76" s="317">
        <f>D76*I60</f>
        <v>0</v>
      </c>
      <c r="J76" s="318">
        <f>E76*J60</f>
        <v>0</v>
      </c>
      <c r="K76" s="318">
        <f>F76*K60</f>
        <v>0</v>
      </c>
      <c r="L76" s="318">
        <f>G76*L60</f>
        <v>0</v>
      </c>
      <c r="M76" s="319">
        <f>H76*M60</f>
        <v>0</v>
      </c>
      <c r="N76" s="372">
        <f t="shared" ref="N76:N104" si="32">J7</f>
        <v>6.3185291641470567</v>
      </c>
      <c r="O76" s="321">
        <f t="shared" ref="O76:S91" si="33">MAX(K7,1)</f>
        <v>6.4130192856702335</v>
      </c>
      <c r="P76" s="321">
        <f t="shared" si="33"/>
        <v>9.3862055833604501</v>
      </c>
      <c r="Q76" s="352">
        <f t="shared" si="33"/>
        <v>23.66606848153625</v>
      </c>
      <c r="R76" s="352">
        <f t="shared" si="33"/>
        <v>15.2238918000733</v>
      </c>
      <c r="S76" s="353">
        <f t="shared" si="33"/>
        <v>1</v>
      </c>
      <c r="T76" s="323">
        <v>1</v>
      </c>
      <c r="U76" s="324">
        <v>1</v>
      </c>
      <c r="V76" s="324">
        <v>1</v>
      </c>
      <c r="W76" s="324">
        <v>1</v>
      </c>
      <c r="X76" s="324">
        <v>1</v>
      </c>
      <c r="Y76" s="325">
        <f t="shared" ref="Y76:Y104" si="34">MAX(P7,1)</f>
        <v>1</v>
      </c>
      <c r="Z76" s="323">
        <v>0</v>
      </c>
      <c r="AA76" s="324">
        <v>0</v>
      </c>
      <c r="AB76" s="324">
        <v>0</v>
      </c>
      <c r="AC76" s="324">
        <f t="shared" ref="AC76:AE91" si="35">Q7</f>
        <v>275.49860386699038</v>
      </c>
      <c r="AD76" s="324">
        <f t="shared" si="30"/>
        <v>0</v>
      </c>
      <c r="AE76" s="325">
        <f t="shared" si="30"/>
        <v>0</v>
      </c>
    </row>
    <row r="77" spans="2:31" x14ac:dyDescent="0.2">
      <c r="B77" s="313">
        <v>2023</v>
      </c>
      <c r="C77" s="314">
        <f t="shared" si="31"/>
        <v>82148.907841415799</v>
      </c>
      <c r="D77" s="315">
        <f t="shared" si="31"/>
        <v>46.992740332206807</v>
      </c>
      <c r="E77" s="315">
        <f t="shared" si="31"/>
        <v>6390.9661482687898</v>
      </c>
      <c r="F77" s="315">
        <f t="shared" si="31"/>
        <v>287950.02791560767</v>
      </c>
      <c r="G77" s="315">
        <f t="shared" si="31"/>
        <v>99807.736381836206</v>
      </c>
      <c r="H77" s="316">
        <f t="shared" si="31"/>
        <v>0</v>
      </c>
      <c r="I77" s="317">
        <f>D77*I60</f>
        <v>0</v>
      </c>
      <c r="J77" s="318">
        <f>E77*J60</f>
        <v>0</v>
      </c>
      <c r="K77" s="318">
        <f>F77*K60</f>
        <v>0</v>
      </c>
      <c r="L77" s="318">
        <f>G77*L60</f>
        <v>0</v>
      </c>
      <c r="M77" s="319">
        <f>H77*M60</f>
        <v>0</v>
      </c>
      <c r="N77" s="372">
        <f t="shared" si="32"/>
        <v>6.4751097824714527</v>
      </c>
      <c r="O77" s="321">
        <f t="shared" si="33"/>
        <v>6.5602147424272754</v>
      </c>
      <c r="P77" s="321">
        <f t="shared" si="33"/>
        <v>9.5911022888856703</v>
      </c>
      <c r="Q77" s="352">
        <f t="shared" si="33"/>
        <v>24.041006372571086</v>
      </c>
      <c r="R77" s="352">
        <f t="shared" si="33"/>
        <v>15.513073365420471</v>
      </c>
      <c r="S77" s="353">
        <f t="shared" si="33"/>
        <v>1</v>
      </c>
      <c r="T77" s="323">
        <v>1</v>
      </c>
      <c r="U77" s="324">
        <v>1</v>
      </c>
      <c r="V77" s="324">
        <v>1</v>
      </c>
      <c r="W77" s="324">
        <v>1</v>
      </c>
      <c r="X77" s="324">
        <v>1</v>
      </c>
      <c r="Y77" s="325">
        <f t="shared" si="34"/>
        <v>1</v>
      </c>
      <c r="Z77" s="323">
        <v>0</v>
      </c>
      <c r="AA77" s="324">
        <v>0</v>
      </c>
      <c r="AB77" s="324">
        <v>0</v>
      </c>
      <c r="AC77" s="324">
        <f t="shared" si="35"/>
        <v>275.89711005848221</v>
      </c>
      <c r="AD77" s="324">
        <f t="shared" si="30"/>
        <v>0</v>
      </c>
      <c r="AE77" s="325">
        <f t="shared" si="30"/>
        <v>0</v>
      </c>
    </row>
    <row r="78" spans="2:31" x14ac:dyDescent="0.2">
      <c r="B78" s="313">
        <v>2024</v>
      </c>
      <c r="C78" s="314">
        <f t="shared" si="31"/>
        <v>82304.395976705782</v>
      </c>
      <c r="D78" s="315">
        <f t="shared" si="31"/>
        <v>81.362200252066472</v>
      </c>
      <c r="E78" s="315">
        <f t="shared" si="31"/>
        <v>6118.1373682233771</v>
      </c>
      <c r="F78" s="315">
        <f t="shared" si="31"/>
        <v>262566.84089348803</v>
      </c>
      <c r="G78" s="315">
        <f t="shared" si="31"/>
        <v>91706.068650719186</v>
      </c>
      <c r="H78" s="316">
        <f t="shared" si="31"/>
        <v>0</v>
      </c>
      <c r="I78" s="317">
        <f>D78*I60</f>
        <v>0</v>
      </c>
      <c r="J78" s="318">
        <f>E78*J60</f>
        <v>0</v>
      </c>
      <c r="K78" s="318">
        <f>F78*K60</f>
        <v>0</v>
      </c>
      <c r="L78" s="318">
        <f>G78*L60</f>
        <v>0</v>
      </c>
      <c r="M78" s="319">
        <f>H78*M60</f>
        <v>0</v>
      </c>
      <c r="N78" s="372">
        <f t="shared" si="32"/>
        <v>6.6492529214040559</v>
      </c>
      <c r="O78" s="321">
        <f t="shared" si="33"/>
        <v>6.7786280542435247</v>
      </c>
      <c r="P78" s="321">
        <f t="shared" si="33"/>
        <v>9.8951345533316424</v>
      </c>
      <c r="Q78" s="352">
        <f t="shared" si="33"/>
        <v>24.597351169554116</v>
      </c>
      <c r="R78" s="352">
        <f t="shared" si="33"/>
        <v>15.942170192151579</v>
      </c>
      <c r="S78" s="353">
        <f t="shared" si="33"/>
        <v>1</v>
      </c>
      <c r="T78" s="323">
        <v>1</v>
      </c>
      <c r="U78" s="324">
        <v>1</v>
      </c>
      <c r="V78" s="324">
        <v>1</v>
      </c>
      <c r="W78" s="324">
        <v>1</v>
      </c>
      <c r="X78" s="324">
        <v>1</v>
      </c>
      <c r="Y78" s="325">
        <f t="shared" si="34"/>
        <v>1</v>
      </c>
      <c r="Z78" s="323">
        <v>0</v>
      </c>
      <c r="AA78" s="324">
        <v>0</v>
      </c>
      <c r="AB78" s="324">
        <v>0</v>
      </c>
      <c r="AC78" s="324">
        <f t="shared" si="35"/>
        <v>276.29561624997405</v>
      </c>
      <c r="AD78" s="324">
        <f t="shared" si="30"/>
        <v>0</v>
      </c>
      <c r="AE78" s="325">
        <f t="shared" si="30"/>
        <v>0</v>
      </c>
    </row>
    <row r="79" spans="2:31" ht="15" thickBot="1" x14ac:dyDescent="0.25">
      <c r="B79" s="326">
        <v>2025</v>
      </c>
      <c r="C79" s="327">
        <f t="shared" si="31"/>
        <v>82474.172613639836</v>
      </c>
      <c r="D79" s="328">
        <f t="shared" si="31"/>
        <v>119.27416004567138</v>
      </c>
      <c r="E79" s="328">
        <f t="shared" si="31"/>
        <v>5817.1878111532897</v>
      </c>
      <c r="F79" s="328">
        <f t="shared" si="31"/>
        <v>234567.37950945646</v>
      </c>
      <c r="G79" s="328">
        <f t="shared" si="31"/>
        <v>82769.352682547236</v>
      </c>
      <c r="H79" s="329">
        <f t="shared" si="31"/>
        <v>0</v>
      </c>
      <c r="I79" s="330">
        <f>D79*I60</f>
        <v>0</v>
      </c>
      <c r="J79" s="331">
        <f>E79*J60</f>
        <v>0</v>
      </c>
      <c r="K79" s="331">
        <f>F79*K60</f>
        <v>0</v>
      </c>
      <c r="L79" s="331">
        <f>G79*L60</f>
        <v>0</v>
      </c>
      <c r="M79" s="332">
        <f>H79*M60</f>
        <v>0</v>
      </c>
      <c r="N79" s="374">
        <f t="shared" si="32"/>
        <v>6.8393988538764896</v>
      </c>
      <c r="O79" s="334">
        <f t="shared" si="33"/>
        <v>7.0195534780143252</v>
      </c>
      <c r="P79" s="334">
        <f t="shared" si="33"/>
        <v>10.230503773927802</v>
      </c>
      <c r="Q79" s="348">
        <f t="shared" si="33"/>
        <v>25.211039066419026</v>
      </c>
      <c r="R79" s="348">
        <f t="shared" si="33"/>
        <v>16.415494523710052</v>
      </c>
      <c r="S79" s="349">
        <f t="shared" si="33"/>
        <v>1</v>
      </c>
      <c r="T79" s="336">
        <v>1</v>
      </c>
      <c r="U79" s="337">
        <v>1</v>
      </c>
      <c r="V79" s="337">
        <v>1</v>
      </c>
      <c r="W79" s="337">
        <v>1</v>
      </c>
      <c r="X79" s="337">
        <v>1</v>
      </c>
      <c r="Y79" s="338">
        <f t="shared" si="34"/>
        <v>1</v>
      </c>
      <c r="Z79" s="336">
        <v>0</v>
      </c>
      <c r="AA79" s="337">
        <v>0</v>
      </c>
      <c r="AB79" s="337">
        <v>0</v>
      </c>
      <c r="AC79" s="337">
        <f t="shared" si="35"/>
        <v>276.69412244146588</v>
      </c>
      <c r="AD79" s="337">
        <f t="shared" si="30"/>
        <v>0</v>
      </c>
      <c r="AE79" s="338">
        <f t="shared" si="30"/>
        <v>0</v>
      </c>
    </row>
    <row r="80" spans="2:31" x14ac:dyDescent="0.2">
      <c r="B80" s="300">
        <v>2026</v>
      </c>
      <c r="C80" s="339">
        <f t="shared" si="31"/>
        <v>82644.145945552678</v>
      </c>
      <c r="D80" s="340">
        <f t="shared" si="31"/>
        <v>149.561514188281</v>
      </c>
      <c r="E80" s="340">
        <f t="shared" si="31"/>
        <v>5576.7632627082685</v>
      </c>
      <c r="F80" s="340">
        <f t="shared" si="31"/>
        <v>212198.98686087714</v>
      </c>
      <c r="G80" s="340">
        <f t="shared" si="31"/>
        <v>75629.930640704086</v>
      </c>
      <c r="H80" s="341">
        <f t="shared" si="31"/>
        <v>0</v>
      </c>
      <c r="I80" s="304">
        <f>D80*I60</f>
        <v>0</v>
      </c>
      <c r="J80" s="305">
        <f>E80*J60</f>
        <v>0</v>
      </c>
      <c r="K80" s="305">
        <f>F80*K60</f>
        <v>0</v>
      </c>
      <c r="L80" s="305">
        <f>G80*L60</f>
        <v>0</v>
      </c>
      <c r="M80" s="306">
        <f>H80*M60</f>
        <v>0</v>
      </c>
      <c r="N80" s="375">
        <f t="shared" si="32"/>
        <v>7.029765080205796</v>
      </c>
      <c r="O80" s="343">
        <f t="shared" si="33"/>
        <v>7.2120255546737706</v>
      </c>
      <c r="P80" s="343">
        <f t="shared" si="33"/>
        <v>10.498425728055857</v>
      </c>
      <c r="Q80" s="350">
        <f t="shared" si="33"/>
        <v>25.701306063075751</v>
      </c>
      <c r="R80" s="350">
        <f t="shared" si="33"/>
        <v>16.79362695823124</v>
      </c>
      <c r="S80" s="351">
        <f t="shared" si="33"/>
        <v>1</v>
      </c>
      <c r="T80" s="345">
        <v>1</v>
      </c>
      <c r="U80" s="346">
        <v>1</v>
      </c>
      <c r="V80" s="346">
        <v>1</v>
      </c>
      <c r="W80" s="346">
        <v>1</v>
      </c>
      <c r="X80" s="346">
        <v>1</v>
      </c>
      <c r="Y80" s="347">
        <f t="shared" si="34"/>
        <v>1</v>
      </c>
      <c r="Z80" s="345">
        <v>0</v>
      </c>
      <c r="AA80" s="346">
        <v>0</v>
      </c>
      <c r="AB80" s="346">
        <v>0</v>
      </c>
      <c r="AC80" s="346">
        <f t="shared" si="35"/>
        <v>277.09262863295771</v>
      </c>
      <c r="AD80" s="346">
        <f t="shared" si="30"/>
        <v>0</v>
      </c>
      <c r="AE80" s="347">
        <f t="shared" si="30"/>
        <v>0</v>
      </c>
    </row>
    <row r="81" spans="2:31" x14ac:dyDescent="0.2">
      <c r="B81" s="313">
        <v>2027</v>
      </c>
      <c r="C81" s="314">
        <f t="shared" si="31"/>
        <v>82827.166666666642</v>
      </c>
      <c r="D81" s="315">
        <f t="shared" si="31"/>
        <v>185.83333333335759</v>
      </c>
      <c r="E81" s="315">
        <f t="shared" si="31"/>
        <v>5288.8333333333576</v>
      </c>
      <c r="F81" s="315">
        <f t="shared" si="31"/>
        <v>185410.83333333337</v>
      </c>
      <c r="G81" s="315">
        <f t="shared" si="31"/>
        <v>67079.833333333358</v>
      </c>
      <c r="H81" s="316">
        <f t="shared" si="31"/>
        <v>0</v>
      </c>
      <c r="I81" s="317">
        <f>D81*I60</f>
        <v>0</v>
      </c>
      <c r="J81" s="318">
        <f>E81*J60</f>
        <v>0</v>
      </c>
      <c r="K81" s="318">
        <f>F81*K60</f>
        <v>0</v>
      </c>
      <c r="L81" s="318">
        <f>G81*L60</f>
        <v>0</v>
      </c>
      <c r="M81" s="319">
        <f>H81*M60</f>
        <v>0</v>
      </c>
      <c r="N81" s="372">
        <f t="shared" si="32"/>
        <v>7.2347440826554212</v>
      </c>
      <c r="O81" s="321">
        <f t="shared" si="33"/>
        <v>7.4425281044242979</v>
      </c>
      <c r="P81" s="321">
        <f t="shared" si="33"/>
        <v>10.81928626342552</v>
      </c>
      <c r="Q81" s="352">
        <f t="shared" si="33"/>
        <v>26.288444700270691</v>
      </c>
      <c r="R81" s="352">
        <f t="shared" si="33"/>
        <v>17.246474414409146</v>
      </c>
      <c r="S81" s="353">
        <f t="shared" si="33"/>
        <v>1</v>
      </c>
      <c r="T81" s="323">
        <v>1</v>
      </c>
      <c r="U81" s="324">
        <v>1</v>
      </c>
      <c r="V81" s="324">
        <v>1</v>
      </c>
      <c r="W81" s="324">
        <v>1</v>
      </c>
      <c r="X81" s="324">
        <v>1</v>
      </c>
      <c r="Y81" s="325">
        <f t="shared" si="34"/>
        <v>1</v>
      </c>
      <c r="Z81" s="323">
        <v>0</v>
      </c>
      <c r="AA81" s="324">
        <v>0</v>
      </c>
      <c r="AB81" s="324">
        <v>0</v>
      </c>
      <c r="AC81" s="324">
        <f t="shared" si="35"/>
        <v>277.49113482444966</v>
      </c>
      <c r="AD81" s="324">
        <f t="shared" si="30"/>
        <v>0</v>
      </c>
      <c r="AE81" s="325">
        <f t="shared" si="30"/>
        <v>0</v>
      </c>
    </row>
    <row r="82" spans="2:31" x14ac:dyDescent="0.2">
      <c r="B82" s="313">
        <v>2028</v>
      </c>
      <c r="C82" s="314">
        <f t="shared" si="31"/>
        <v>83037.8505026809</v>
      </c>
      <c r="D82" s="315">
        <f t="shared" si="31"/>
        <v>926.20631570770945</v>
      </c>
      <c r="E82" s="315">
        <f t="shared" si="31"/>
        <v>5602.5853599658076</v>
      </c>
      <c r="F82" s="315">
        <f t="shared" si="31"/>
        <v>153399.55329746869</v>
      </c>
      <c r="G82" s="315">
        <f t="shared" si="31"/>
        <v>62164.647097111483</v>
      </c>
      <c r="H82" s="316">
        <f t="shared" si="31"/>
        <v>0</v>
      </c>
      <c r="I82" s="317">
        <f>D82*I60</f>
        <v>0</v>
      </c>
      <c r="J82" s="318">
        <f>E82*J60</f>
        <v>0</v>
      </c>
      <c r="K82" s="318">
        <f>F82*K60</f>
        <v>0</v>
      </c>
      <c r="L82" s="318">
        <f>G82*L60</f>
        <v>0</v>
      </c>
      <c r="M82" s="319">
        <f>H82*M60</f>
        <v>0</v>
      </c>
      <c r="N82" s="372">
        <f t="shared" si="32"/>
        <v>7.3264307414802223</v>
      </c>
      <c r="O82" s="321">
        <f t="shared" si="33"/>
        <v>7.6363608701175529</v>
      </c>
      <c r="P82" s="321">
        <f t="shared" si="33"/>
        <v>11.301180035708263</v>
      </c>
      <c r="Q82" s="352">
        <f t="shared" si="33"/>
        <v>27.330590010718229</v>
      </c>
      <c r="R82" s="352">
        <f t="shared" si="33"/>
        <v>17.881442405291828</v>
      </c>
      <c r="S82" s="353">
        <f t="shared" si="33"/>
        <v>1</v>
      </c>
      <c r="T82" s="323">
        <v>1</v>
      </c>
      <c r="U82" s="324">
        <v>1</v>
      </c>
      <c r="V82" s="324">
        <v>1</v>
      </c>
      <c r="W82" s="324">
        <v>1</v>
      </c>
      <c r="X82" s="324">
        <v>1</v>
      </c>
      <c r="Y82" s="325">
        <f t="shared" si="34"/>
        <v>1</v>
      </c>
      <c r="Z82" s="323">
        <v>0</v>
      </c>
      <c r="AA82" s="324">
        <v>0</v>
      </c>
      <c r="AB82" s="324">
        <v>0</v>
      </c>
      <c r="AC82" s="324">
        <f t="shared" si="35"/>
        <v>278.82633234864386</v>
      </c>
      <c r="AD82" s="324">
        <f t="shared" si="30"/>
        <v>0</v>
      </c>
      <c r="AE82" s="325">
        <f t="shared" si="30"/>
        <v>0</v>
      </c>
    </row>
    <row r="83" spans="2:31" x14ac:dyDescent="0.2">
      <c r="B83" s="313">
        <v>2029</v>
      </c>
      <c r="C83" s="314">
        <f t="shared" si="31"/>
        <v>83446.393709348864</v>
      </c>
      <c r="D83" s="315">
        <f t="shared" si="31"/>
        <v>1328.2777819645421</v>
      </c>
      <c r="E83" s="315">
        <f t="shared" si="31"/>
        <v>5772.9734486621273</v>
      </c>
      <c r="F83" s="315">
        <f t="shared" si="31"/>
        <v>136015.3123713588</v>
      </c>
      <c r="G83" s="315">
        <f t="shared" si="31"/>
        <v>59495.376089159094</v>
      </c>
      <c r="H83" s="316">
        <f t="shared" si="31"/>
        <v>0</v>
      </c>
      <c r="I83" s="317">
        <f>D83*I60</f>
        <v>0</v>
      </c>
      <c r="J83" s="318">
        <f>E83*J60</f>
        <v>0</v>
      </c>
      <c r="K83" s="318">
        <f>F83*K60</f>
        <v>0</v>
      </c>
      <c r="L83" s="318">
        <f>G83*L60</f>
        <v>0</v>
      </c>
      <c r="M83" s="319">
        <f>H83*M60</f>
        <v>0</v>
      </c>
      <c r="N83" s="372">
        <f t="shared" si="32"/>
        <v>7.5042230311669371</v>
      </c>
      <c r="O83" s="321">
        <f t="shared" si="33"/>
        <v>7.7416248737565976</v>
      </c>
      <c r="P83" s="321">
        <f t="shared" si="33"/>
        <v>11.562880206047257</v>
      </c>
      <c r="Q83" s="352">
        <f t="shared" si="33"/>
        <v>27.896543797525187</v>
      </c>
      <c r="R83" s="352">
        <f t="shared" si="33"/>
        <v>18.226271994158786</v>
      </c>
      <c r="S83" s="353">
        <f t="shared" si="33"/>
        <v>1</v>
      </c>
      <c r="T83" s="323">
        <v>1</v>
      </c>
      <c r="U83" s="324">
        <v>1</v>
      </c>
      <c r="V83" s="324">
        <v>1</v>
      </c>
      <c r="W83" s="324">
        <v>1</v>
      </c>
      <c r="X83" s="324">
        <v>1</v>
      </c>
      <c r="Y83" s="325">
        <f t="shared" si="34"/>
        <v>1</v>
      </c>
      <c r="Z83" s="323">
        <v>0</v>
      </c>
      <c r="AA83" s="324">
        <v>0</v>
      </c>
      <c r="AB83" s="324">
        <v>0</v>
      </c>
      <c r="AC83" s="324">
        <f t="shared" si="35"/>
        <v>280.16152987283806</v>
      </c>
      <c r="AD83" s="324">
        <f t="shared" si="30"/>
        <v>0</v>
      </c>
      <c r="AE83" s="325">
        <f t="shared" si="30"/>
        <v>0</v>
      </c>
    </row>
    <row r="84" spans="2:31" ht="15" thickBot="1" x14ac:dyDescent="0.25">
      <c r="B84" s="326">
        <v>2030</v>
      </c>
      <c r="C84" s="327">
        <f t="shared" si="31"/>
        <v>83815.84790700287</v>
      </c>
      <c r="D84" s="328">
        <f t="shared" si="31"/>
        <v>1681.2099123330988</v>
      </c>
      <c r="E84" s="328">
        <f t="shared" si="31"/>
        <v>5922.5374843617083</v>
      </c>
      <c r="F84" s="328">
        <f t="shared" si="31"/>
        <v>120755.69387116659</v>
      </c>
      <c r="G84" s="328">
        <f t="shared" si="31"/>
        <v>57152.331176924781</v>
      </c>
      <c r="H84" s="329">
        <f t="shared" si="31"/>
        <v>0</v>
      </c>
      <c r="I84" s="330">
        <f>D84*I60</f>
        <v>0</v>
      </c>
      <c r="J84" s="331">
        <f>E84*J60</f>
        <v>0</v>
      </c>
      <c r="K84" s="331">
        <f>F84*K60</f>
        <v>0</v>
      </c>
      <c r="L84" s="331">
        <f>G84*L60</f>
        <v>0</v>
      </c>
      <c r="M84" s="332">
        <f>H84*M60</f>
        <v>0</v>
      </c>
      <c r="N84" s="374">
        <f t="shared" si="32"/>
        <v>7.665004330826771</v>
      </c>
      <c r="O84" s="334">
        <f t="shared" si="33"/>
        <v>7.8340239922549006</v>
      </c>
      <c r="P84" s="334">
        <f t="shared" si="33"/>
        <v>11.792596578351473</v>
      </c>
      <c r="Q84" s="348">
        <f t="shared" si="33"/>
        <v>28.393329300678349</v>
      </c>
      <c r="R84" s="348">
        <f t="shared" si="33"/>
        <v>18.528958087618573</v>
      </c>
      <c r="S84" s="349">
        <f t="shared" si="33"/>
        <v>1</v>
      </c>
      <c r="T84" s="336">
        <v>1</v>
      </c>
      <c r="U84" s="337">
        <v>1</v>
      </c>
      <c r="V84" s="337">
        <v>1</v>
      </c>
      <c r="W84" s="337">
        <v>1</v>
      </c>
      <c r="X84" s="337">
        <v>1</v>
      </c>
      <c r="Y84" s="338">
        <f t="shared" si="34"/>
        <v>1</v>
      </c>
      <c r="Z84" s="336">
        <v>0</v>
      </c>
      <c r="AA84" s="337">
        <v>0</v>
      </c>
      <c r="AB84" s="337">
        <v>0</v>
      </c>
      <c r="AC84" s="337">
        <f t="shared" si="35"/>
        <v>281.49672739703226</v>
      </c>
      <c r="AD84" s="337">
        <f t="shared" si="30"/>
        <v>0</v>
      </c>
      <c r="AE84" s="338">
        <f t="shared" si="30"/>
        <v>0</v>
      </c>
    </row>
    <row r="85" spans="2:31" x14ac:dyDescent="0.2">
      <c r="B85" s="300">
        <v>2031</v>
      </c>
      <c r="C85" s="339">
        <f t="shared" si="31"/>
        <v>84154.683571299582</v>
      </c>
      <c r="D85" s="340">
        <f t="shared" si="31"/>
        <v>1913.1131031262105</v>
      </c>
      <c r="E85" s="340">
        <f t="shared" si="31"/>
        <v>6020.8124050112037</v>
      </c>
      <c r="F85" s="340">
        <f t="shared" si="31"/>
        <v>110728.96658854511</v>
      </c>
      <c r="G85" s="340">
        <f t="shared" si="31"/>
        <v>55612.772875017552</v>
      </c>
      <c r="H85" s="341">
        <f t="shared" si="31"/>
        <v>0</v>
      </c>
      <c r="I85" s="304">
        <f>D85*I60</f>
        <v>0</v>
      </c>
      <c r="J85" s="305">
        <f>E85*J60</f>
        <v>0</v>
      </c>
      <c r="K85" s="305">
        <f>F85*K60</f>
        <v>0</v>
      </c>
      <c r="L85" s="305">
        <f>G85*L60</f>
        <v>0</v>
      </c>
      <c r="M85" s="306">
        <f>H85*M60</f>
        <v>0</v>
      </c>
      <c r="N85" s="375">
        <f t="shared" si="32"/>
        <v>7.8124608729980709</v>
      </c>
      <c r="O85" s="343">
        <f t="shared" si="33"/>
        <v>7.8947372245238103</v>
      </c>
      <c r="P85" s="343">
        <f t="shared" si="33"/>
        <v>11.94353766625734</v>
      </c>
      <c r="Q85" s="350">
        <f t="shared" si="33"/>
        <v>28.71975507325018</v>
      </c>
      <c r="R85" s="350">
        <f t="shared" si="33"/>
        <v>18.727845819400677</v>
      </c>
      <c r="S85" s="351">
        <f t="shared" si="33"/>
        <v>1</v>
      </c>
      <c r="T85" s="345">
        <v>1</v>
      </c>
      <c r="U85" s="346">
        <v>1</v>
      </c>
      <c r="V85" s="346">
        <v>1</v>
      </c>
      <c r="W85" s="346">
        <v>1</v>
      </c>
      <c r="X85" s="346">
        <v>1</v>
      </c>
      <c r="Y85" s="347">
        <f t="shared" si="34"/>
        <v>1</v>
      </c>
      <c r="Z85" s="345">
        <v>0</v>
      </c>
      <c r="AA85" s="346">
        <v>0</v>
      </c>
      <c r="AB85" s="346">
        <v>0</v>
      </c>
      <c r="AC85" s="346">
        <f t="shared" si="35"/>
        <v>282.83192492122646</v>
      </c>
      <c r="AD85" s="346">
        <f t="shared" si="30"/>
        <v>0</v>
      </c>
      <c r="AE85" s="347">
        <f t="shared" si="30"/>
        <v>0</v>
      </c>
    </row>
    <row r="86" spans="2:31" x14ac:dyDescent="0.2">
      <c r="B86" s="313">
        <v>2032</v>
      </c>
      <c r="C86" s="314">
        <f t="shared" si="31"/>
        <v>84191.182466604063</v>
      </c>
      <c r="D86" s="340">
        <f t="shared" si="31"/>
        <v>2037.9405862784147</v>
      </c>
      <c r="E86" s="340">
        <f t="shared" si="31"/>
        <v>6073.7112502565178</v>
      </c>
      <c r="F86" s="340">
        <f t="shared" si="31"/>
        <v>105331.83890495136</v>
      </c>
      <c r="G86" s="340">
        <f t="shared" si="31"/>
        <v>54784.068503439463</v>
      </c>
      <c r="H86" s="341">
        <f t="shared" si="31"/>
        <v>0</v>
      </c>
      <c r="I86" s="317">
        <f>D86*I60</f>
        <v>0</v>
      </c>
      <c r="J86" s="318">
        <f>E86*J60</f>
        <v>0</v>
      </c>
      <c r="K86" s="318">
        <f>F86*K60</f>
        <v>0</v>
      </c>
      <c r="L86" s="318">
        <f>G86*L60</f>
        <v>0</v>
      </c>
      <c r="M86" s="319">
        <f>H86*M60</f>
        <v>0</v>
      </c>
      <c r="N86" s="375">
        <f t="shared" si="32"/>
        <v>7.8283446817637188</v>
      </c>
      <c r="O86" s="321">
        <f t="shared" si="33"/>
        <v>7.9274175854634077</v>
      </c>
      <c r="P86" s="321">
        <f t="shared" si="33"/>
        <v>12.024785345701106</v>
      </c>
      <c r="Q86" s="352">
        <f t="shared" si="33"/>
        <v>28.895461614789355</v>
      </c>
      <c r="R86" s="352">
        <f t="shared" si="33"/>
        <v>18.834901935805558</v>
      </c>
      <c r="S86" s="353">
        <f t="shared" si="33"/>
        <v>1</v>
      </c>
      <c r="T86" s="345">
        <v>1</v>
      </c>
      <c r="U86" s="346">
        <v>1</v>
      </c>
      <c r="V86" s="346">
        <v>1</v>
      </c>
      <c r="W86" s="346">
        <v>1</v>
      </c>
      <c r="X86" s="346">
        <v>1</v>
      </c>
      <c r="Y86" s="347">
        <f t="shared" si="34"/>
        <v>1</v>
      </c>
      <c r="Z86" s="345">
        <v>0</v>
      </c>
      <c r="AA86" s="346">
        <v>0</v>
      </c>
      <c r="AB86" s="346">
        <v>0</v>
      </c>
      <c r="AC86" s="346">
        <f t="shared" si="35"/>
        <v>284.16712244542066</v>
      </c>
      <c r="AD86" s="346">
        <f t="shared" si="30"/>
        <v>0</v>
      </c>
      <c r="AE86" s="347">
        <f t="shared" si="30"/>
        <v>0</v>
      </c>
    </row>
    <row r="87" spans="2:31" x14ac:dyDescent="0.2">
      <c r="B87" s="313">
        <v>2033</v>
      </c>
      <c r="C87" s="314">
        <f t="shared" si="31"/>
        <v>84227.755569188754</v>
      </c>
      <c r="D87" s="340">
        <f t="shared" si="31"/>
        <v>2097.9971608272308</v>
      </c>
      <c r="E87" s="340">
        <f t="shared" si="31"/>
        <v>6099.1617629384727</v>
      </c>
      <c r="F87" s="340">
        <f t="shared" si="31"/>
        <v>102735.1911724644</v>
      </c>
      <c r="G87" s="340">
        <f t="shared" si="31"/>
        <v>54385.365072001012</v>
      </c>
      <c r="H87" s="341">
        <f t="shared" si="31"/>
        <v>0</v>
      </c>
      <c r="I87" s="317">
        <f>D87*I60</f>
        <v>0</v>
      </c>
      <c r="J87" s="318">
        <f>E87*J60</f>
        <v>0</v>
      </c>
      <c r="K87" s="318">
        <f>F87*K60</f>
        <v>0</v>
      </c>
      <c r="L87" s="318">
        <f>G87*L60</f>
        <v>0</v>
      </c>
      <c r="M87" s="319">
        <f>H87*M60</f>
        <v>0</v>
      </c>
      <c r="N87" s="375">
        <f t="shared" si="32"/>
        <v>7.8442607844998591</v>
      </c>
      <c r="O87" s="321">
        <f t="shared" si="33"/>
        <v>7.9431406496756214</v>
      </c>
      <c r="P87" s="321">
        <f t="shared" si="33"/>
        <v>12.063874953167465</v>
      </c>
      <c r="Q87" s="352">
        <f t="shared" si="33"/>
        <v>28.979996949029776</v>
      </c>
      <c r="R87" s="352">
        <f t="shared" si="33"/>
        <v>18.886408410769384</v>
      </c>
      <c r="S87" s="353">
        <f t="shared" si="33"/>
        <v>1</v>
      </c>
      <c r="T87" s="345">
        <v>1</v>
      </c>
      <c r="U87" s="346">
        <v>1</v>
      </c>
      <c r="V87" s="346">
        <v>1</v>
      </c>
      <c r="W87" s="346">
        <v>1</v>
      </c>
      <c r="X87" s="346">
        <v>1</v>
      </c>
      <c r="Y87" s="347">
        <f t="shared" si="34"/>
        <v>1</v>
      </c>
      <c r="Z87" s="345">
        <v>0</v>
      </c>
      <c r="AA87" s="346">
        <v>0</v>
      </c>
      <c r="AB87" s="346">
        <v>0</v>
      </c>
      <c r="AC87" s="346">
        <f t="shared" si="35"/>
        <v>285.50231996961486</v>
      </c>
      <c r="AD87" s="346">
        <f t="shared" si="30"/>
        <v>0</v>
      </c>
      <c r="AE87" s="347">
        <f t="shared" si="30"/>
        <v>0</v>
      </c>
    </row>
    <row r="88" spans="2:31" x14ac:dyDescent="0.2">
      <c r="B88" s="313">
        <v>2034</v>
      </c>
      <c r="C88" s="314">
        <f t="shared" si="31"/>
        <v>84264.403029927285</v>
      </c>
      <c r="D88" s="340">
        <f t="shared" si="31"/>
        <v>2125.329147712132</v>
      </c>
      <c r="E88" s="340">
        <f t="shared" si="31"/>
        <v>6110.7443928846997</v>
      </c>
      <c r="F88" s="340">
        <f t="shared" si="31"/>
        <v>101553.44642091604</v>
      </c>
      <c r="G88" s="340">
        <f t="shared" si="31"/>
        <v>54203.913548318422</v>
      </c>
      <c r="H88" s="341">
        <f t="shared" si="31"/>
        <v>0</v>
      </c>
      <c r="I88" s="317">
        <f>D88*I60</f>
        <v>0</v>
      </c>
      <c r="J88" s="318">
        <f>E88*J60</f>
        <v>0</v>
      </c>
      <c r="K88" s="318">
        <f>F88*K60</f>
        <v>0</v>
      </c>
      <c r="L88" s="318">
        <f>G88*L60</f>
        <v>0</v>
      </c>
      <c r="M88" s="319">
        <f>H88*M60</f>
        <v>0</v>
      </c>
      <c r="N88" s="375">
        <f t="shared" si="32"/>
        <v>7.8602092468645806</v>
      </c>
      <c r="O88" s="321">
        <f t="shared" si="33"/>
        <v>7.9502962789812752</v>
      </c>
      <c r="P88" s="321">
        <f t="shared" si="33"/>
        <v>12.081664789611395</v>
      </c>
      <c r="Q88" s="352">
        <f t="shared" si="33"/>
        <v>29.018469317194757</v>
      </c>
      <c r="R88" s="352">
        <f t="shared" si="33"/>
        <v>18.909849213192345</v>
      </c>
      <c r="S88" s="353">
        <f t="shared" si="33"/>
        <v>1</v>
      </c>
      <c r="T88" s="345">
        <v>1</v>
      </c>
      <c r="U88" s="346">
        <v>1</v>
      </c>
      <c r="V88" s="346">
        <v>1</v>
      </c>
      <c r="W88" s="346">
        <v>1</v>
      </c>
      <c r="X88" s="346">
        <v>1</v>
      </c>
      <c r="Y88" s="347">
        <f t="shared" si="34"/>
        <v>1</v>
      </c>
      <c r="Z88" s="345">
        <v>0</v>
      </c>
      <c r="AA88" s="346">
        <v>0</v>
      </c>
      <c r="AB88" s="346">
        <v>0</v>
      </c>
      <c r="AC88" s="346">
        <f t="shared" si="35"/>
        <v>286.83751749380906</v>
      </c>
      <c r="AD88" s="346">
        <f t="shared" si="30"/>
        <v>0</v>
      </c>
      <c r="AE88" s="347">
        <f t="shared" si="30"/>
        <v>0</v>
      </c>
    </row>
    <row r="89" spans="2:31" ht="15" thickBot="1" x14ac:dyDescent="0.25">
      <c r="B89" s="354">
        <v>2035</v>
      </c>
      <c r="C89" s="355">
        <f t="shared" si="31"/>
        <v>84301.125</v>
      </c>
      <c r="D89" s="356">
        <f t="shared" si="31"/>
        <v>2146.875</v>
      </c>
      <c r="E89" s="356">
        <f t="shared" si="31"/>
        <v>6119.875</v>
      </c>
      <c r="F89" s="356">
        <f t="shared" si="31"/>
        <v>100621.875</v>
      </c>
      <c r="G89" s="356">
        <f t="shared" si="31"/>
        <v>54060.875</v>
      </c>
      <c r="H89" s="357">
        <f t="shared" si="31"/>
        <v>0</v>
      </c>
      <c r="I89" s="358">
        <f>D89*I60</f>
        <v>0</v>
      </c>
      <c r="J89" s="359">
        <f>E89*J60</f>
        <v>0</v>
      </c>
      <c r="K89" s="359">
        <f>F89*K60</f>
        <v>0</v>
      </c>
      <c r="L89" s="359">
        <f>G89*L60</f>
        <v>0</v>
      </c>
      <c r="M89" s="360">
        <f>H89*M60</f>
        <v>0</v>
      </c>
      <c r="N89" s="376">
        <f t="shared" si="32"/>
        <v>7.8761901346494616</v>
      </c>
      <c r="O89" s="334">
        <f t="shared" si="33"/>
        <v>7.955937073874658</v>
      </c>
      <c r="P89" s="334">
        <f t="shared" si="33"/>
        <v>12.095688548288747</v>
      </c>
      <c r="Q89" s="348">
        <f t="shared" si="33"/>
        <v>29.048797151213481</v>
      </c>
      <c r="R89" s="348">
        <f t="shared" si="33"/>
        <v>18.928327638073828</v>
      </c>
      <c r="S89" s="349">
        <f t="shared" si="33"/>
        <v>1</v>
      </c>
      <c r="T89" s="362">
        <v>1</v>
      </c>
      <c r="U89" s="363">
        <v>1</v>
      </c>
      <c r="V89" s="363">
        <v>1</v>
      </c>
      <c r="W89" s="363">
        <v>1</v>
      </c>
      <c r="X89" s="363">
        <v>1</v>
      </c>
      <c r="Y89" s="364">
        <f t="shared" si="34"/>
        <v>1</v>
      </c>
      <c r="Z89" s="362">
        <v>0</v>
      </c>
      <c r="AA89" s="363">
        <v>0</v>
      </c>
      <c r="AB89" s="363">
        <v>0</v>
      </c>
      <c r="AC89" s="363">
        <f t="shared" si="35"/>
        <v>288.17271501800315</v>
      </c>
      <c r="AD89" s="363">
        <f t="shared" si="30"/>
        <v>0</v>
      </c>
      <c r="AE89" s="364">
        <f t="shared" si="30"/>
        <v>0</v>
      </c>
    </row>
    <row r="90" spans="2:31" x14ac:dyDescent="0.2">
      <c r="B90" s="365">
        <v>2036</v>
      </c>
      <c r="C90" s="301">
        <f t="shared" si="31"/>
        <v>84307.830725171938</v>
      </c>
      <c r="D90" s="302">
        <f t="shared" si="31"/>
        <v>2108.4743346955097</v>
      </c>
      <c r="E90" s="302">
        <f t="shared" si="31"/>
        <v>5951.6096766349319</v>
      </c>
      <c r="F90" s="302">
        <f t="shared" si="31"/>
        <v>98351.271402470971</v>
      </c>
      <c r="G90" s="302">
        <f t="shared" si="31"/>
        <v>53035.341997820513</v>
      </c>
      <c r="H90" s="303">
        <f t="shared" si="31"/>
        <v>0</v>
      </c>
      <c r="I90" s="366">
        <f>D90*I60</f>
        <v>0</v>
      </c>
      <c r="J90" s="367">
        <f>E90*J60</f>
        <v>0</v>
      </c>
      <c r="K90" s="367">
        <f>F90*K60</f>
        <v>0</v>
      </c>
      <c r="L90" s="367">
        <f>G90*L60</f>
        <v>0</v>
      </c>
      <c r="M90" s="368">
        <f>H90*M60</f>
        <v>0</v>
      </c>
      <c r="N90" s="371">
        <f t="shared" si="32"/>
        <v>7.8768612391973623</v>
      </c>
      <c r="O90" s="308">
        <f t="shared" si="33"/>
        <v>7.9993981272727916</v>
      </c>
      <c r="P90" s="308">
        <f t="shared" si="33"/>
        <v>12.212826057193588</v>
      </c>
      <c r="Q90" s="369">
        <f t="shared" si="33"/>
        <v>29.322623280929417</v>
      </c>
      <c r="R90" s="369">
        <f t="shared" si="33"/>
        <v>19.143733302863581</v>
      </c>
      <c r="S90" s="370">
        <f t="shared" si="33"/>
        <v>1</v>
      </c>
      <c r="T90" s="310">
        <v>1</v>
      </c>
      <c r="U90" s="311">
        <v>1</v>
      </c>
      <c r="V90" s="311">
        <v>1</v>
      </c>
      <c r="W90" s="311">
        <v>1</v>
      </c>
      <c r="X90" s="311">
        <v>1</v>
      </c>
      <c r="Y90" s="312">
        <f t="shared" si="34"/>
        <v>1</v>
      </c>
      <c r="Z90" s="310">
        <v>0</v>
      </c>
      <c r="AA90" s="311">
        <v>0</v>
      </c>
      <c r="AB90" s="311">
        <v>0</v>
      </c>
      <c r="AC90" s="311">
        <f t="shared" si="35"/>
        <v>288.69998661681103</v>
      </c>
      <c r="AD90" s="311">
        <f t="shared" si="30"/>
        <v>0</v>
      </c>
      <c r="AE90" s="312">
        <f t="shared" si="30"/>
        <v>0</v>
      </c>
    </row>
    <row r="91" spans="2:31" x14ac:dyDescent="0.2">
      <c r="B91" s="313">
        <v>2037</v>
      </c>
      <c r="C91" s="314">
        <f t="shared" si="31"/>
        <v>84319.909683867867</v>
      </c>
      <c r="D91" s="315">
        <f t="shared" si="31"/>
        <v>2084.6114675148324</v>
      </c>
      <c r="E91" s="315">
        <f t="shared" si="31"/>
        <v>5847.0465647529927</v>
      </c>
      <c r="F91" s="315">
        <f t="shared" si="31"/>
        <v>96940.277305411233</v>
      </c>
      <c r="G91" s="315">
        <f t="shared" si="31"/>
        <v>52398.057262611786</v>
      </c>
      <c r="H91" s="316">
        <f t="shared" si="31"/>
        <v>0</v>
      </c>
      <c r="I91" s="317">
        <f>D91*I60</f>
        <v>0</v>
      </c>
      <c r="J91" s="318">
        <f>E91*J60</f>
        <v>0</v>
      </c>
      <c r="K91" s="318">
        <f>F91*K60</f>
        <v>0</v>
      </c>
      <c r="L91" s="318">
        <f>G91*L60</f>
        <v>0</v>
      </c>
      <c r="M91" s="319">
        <f>H91*M60</f>
        <v>0</v>
      </c>
      <c r="N91" s="372">
        <f t="shared" si="32"/>
        <v>7.8780700934087866</v>
      </c>
      <c r="O91" s="321">
        <f t="shared" si="33"/>
        <v>8.0264056110376814</v>
      </c>
      <c r="P91" s="321">
        <f t="shared" si="33"/>
        <v>12.285617421476143</v>
      </c>
      <c r="Q91" s="352">
        <f t="shared" si="33"/>
        <v>29.492783784977927</v>
      </c>
      <c r="R91" s="352">
        <f t="shared" si="33"/>
        <v>19.277590274561476</v>
      </c>
      <c r="S91" s="353">
        <f t="shared" si="33"/>
        <v>1</v>
      </c>
      <c r="T91" s="323">
        <v>1</v>
      </c>
      <c r="U91" s="324">
        <v>1</v>
      </c>
      <c r="V91" s="324">
        <v>1</v>
      </c>
      <c r="W91" s="324">
        <v>1</v>
      </c>
      <c r="X91" s="324">
        <v>1</v>
      </c>
      <c r="Y91" s="325">
        <f t="shared" si="34"/>
        <v>1</v>
      </c>
      <c r="Z91" s="323">
        <v>0</v>
      </c>
      <c r="AA91" s="324">
        <v>0</v>
      </c>
      <c r="AB91" s="324">
        <v>0</v>
      </c>
      <c r="AC91" s="324">
        <f t="shared" si="35"/>
        <v>289.22725821561892</v>
      </c>
      <c r="AD91" s="324">
        <f t="shared" si="35"/>
        <v>0</v>
      </c>
      <c r="AE91" s="325">
        <f t="shared" si="35"/>
        <v>0</v>
      </c>
    </row>
    <row r="92" spans="2:31" x14ac:dyDescent="0.2">
      <c r="B92" s="313">
        <v>2038</v>
      </c>
      <c r="C92" s="314">
        <f t="shared" ref="C92:H104" si="36">AC23</f>
        <v>84329.394702993392</v>
      </c>
      <c r="D92" s="315">
        <f t="shared" si="36"/>
        <v>2046.9481137953117</v>
      </c>
      <c r="E92" s="315">
        <f t="shared" si="36"/>
        <v>5682.0120180237482</v>
      </c>
      <c r="F92" s="315">
        <f t="shared" si="36"/>
        <v>94713.270409242934</v>
      </c>
      <c r="G92" s="315">
        <f t="shared" si="36"/>
        <v>51392.21499644639</v>
      </c>
      <c r="H92" s="316">
        <f t="shared" si="36"/>
        <v>0</v>
      </c>
      <c r="I92" s="317">
        <f>D92*I60</f>
        <v>0</v>
      </c>
      <c r="J92" s="318">
        <f>E92*J60</f>
        <v>0</v>
      </c>
      <c r="K92" s="318">
        <f>F92*K60</f>
        <v>0</v>
      </c>
      <c r="L92" s="318">
        <f>G92*L60</f>
        <v>0</v>
      </c>
      <c r="M92" s="319">
        <f>H92*M60</f>
        <v>0</v>
      </c>
      <c r="N92" s="372">
        <f t="shared" si="32"/>
        <v>7.8790193478605959</v>
      </c>
      <c r="O92" s="321">
        <f t="shared" ref="O92:S104" si="37">MAX(K23,1)</f>
        <v>8.0690321909205434</v>
      </c>
      <c r="P92" s="321">
        <f t="shared" si="37"/>
        <v>12.4005058328285</v>
      </c>
      <c r="Q92" s="352">
        <f t="shared" si="37"/>
        <v>29.761352318865608</v>
      </c>
      <c r="R92" s="352">
        <f t="shared" si="37"/>
        <v>19.488860045067671</v>
      </c>
      <c r="S92" s="353">
        <f t="shared" si="37"/>
        <v>1</v>
      </c>
      <c r="T92" s="323">
        <v>1</v>
      </c>
      <c r="U92" s="324">
        <v>1</v>
      </c>
      <c r="V92" s="324">
        <v>1</v>
      </c>
      <c r="W92" s="324">
        <v>1</v>
      </c>
      <c r="X92" s="324">
        <v>1</v>
      </c>
      <c r="Y92" s="325">
        <f t="shared" si="34"/>
        <v>1</v>
      </c>
      <c r="Z92" s="323">
        <v>0</v>
      </c>
      <c r="AA92" s="324">
        <v>0</v>
      </c>
      <c r="AB92" s="324">
        <v>0</v>
      </c>
      <c r="AC92" s="324">
        <f t="shared" ref="AC92:AE104" si="38">Q23</f>
        <v>289.7545298144268</v>
      </c>
      <c r="AD92" s="324">
        <f t="shared" si="38"/>
        <v>0</v>
      </c>
      <c r="AE92" s="325">
        <f t="shared" si="38"/>
        <v>0</v>
      </c>
    </row>
    <row r="93" spans="2:31" x14ac:dyDescent="0.2">
      <c r="B93" s="313">
        <v>2039</v>
      </c>
      <c r="C93" s="314">
        <f t="shared" si="36"/>
        <v>84340.183368722908</v>
      </c>
      <c r="D93" s="315">
        <f t="shared" si="36"/>
        <v>1989.0396025816528</v>
      </c>
      <c r="E93" s="315">
        <f t="shared" si="36"/>
        <v>5428.2665610715621</v>
      </c>
      <c r="F93" s="315">
        <f t="shared" si="36"/>
        <v>91289.181976225431</v>
      </c>
      <c r="G93" s="315">
        <f t="shared" si="36"/>
        <v>49845.703005422496</v>
      </c>
      <c r="H93" s="316">
        <f t="shared" si="36"/>
        <v>0</v>
      </c>
      <c r="I93" s="317">
        <f>D93*I60</f>
        <v>0</v>
      </c>
      <c r="J93" s="318">
        <f>E93*J60</f>
        <v>0</v>
      </c>
      <c r="K93" s="318">
        <f>F93*K60</f>
        <v>0</v>
      </c>
      <c r="L93" s="318">
        <f>G93*L60</f>
        <v>0</v>
      </c>
      <c r="M93" s="319">
        <f>H93*M60</f>
        <v>0</v>
      </c>
      <c r="N93" s="372">
        <f t="shared" si="32"/>
        <v>7.8800990704038281</v>
      </c>
      <c r="O93" s="321">
        <f t="shared" si="37"/>
        <v>8.1345718079586096</v>
      </c>
      <c r="P93" s="321">
        <f t="shared" si="37"/>
        <v>12.577150135581316</v>
      </c>
      <c r="Q93" s="352">
        <f t="shared" si="37"/>
        <v>30.174284318285775</v>
      </c>
      <c r="R93" s="352">
        <f t="shared" si="37"/>
        <v>19.813693514906142</v>
      </c>
      <c r="S93" s="353">
        <f t="shared" si="37"/>
        <v>1</v>
      </c>
      <c r="T93" s="323">
        <v>1</v>
      </c>
      <c r="U93" s="324">
        <v>1</v>
      </c>
      <c r="V93" s="324">
        <v>1</v>
      </c>
      <c r="W93" s="324">
        <v>1</v>
      </c>
      <c r="X93" s="324">
        <v>1</v>
      </c>
      <c r="Y93" s="325">
        <f t="shared" si="34"/>
        <v>1</v>
      </c>
      <c r="Z93" s="323">
        <v>0</v>
      </c>
      <c r="AA93" s="324">
        <v>0</v>
      </c>
      <c r="AB93" s="324">
        <v>0</v>
      </c>
      <c r="AC93" s="324">
        <f t="shared" si="38"/>
        <v>290.28180141323469</v>
      </c>
      <c r="AD93" s="324">
        <f t="shared" si="38"/>
        <v>0</v>
      </c>
      <c r="AE93" s="325">
        <f t="shared" si="38"/>
        <v>0</v>
      </c>
    </row>
    <row r="94" spans="2:31" ht="15" thickBot="1" x14ac:dyDescent="0.25">
      <c r="B94" s="326">
        <v>2040</v>
      </c>
      <c r="C94" s="327">
        <f t="shared" si="36"/>
        <v>84354.477774657062</v>
      </c>
      <c r="D94" s="328">
        <f t="shared" si="36"/>
        <v>1903.4934577023982</v>
      </c>
      <c r="E94" s="328">
        <f t="shared" si="36"/>
        <v>5053.4175938308936</v>
      </c>
      <c r="F94" s="328">
        <f t="shared" si="36"/>
        <v>86230.900230912463</v>
      </c>
      <c r="G94" s="328">
        <f t="shared" si="36"/>
        <v>47561.096890209017</v>
      </c>
      <c r="H94" s="329">
        <f t="shared" si="36"/>
        <v>0</v>
      </c>
      <c r="I94" s="330">
        <f>D94*I60</f>
        <v>0</v>
      </c>
      <c r="J94" s="331">
        <f>E94*J60</f>
        <v>0</v>
      </c>
      <c r="K94" s="331">
        <f>F94*K60</f>
        <v>0</v>
      </c>
      <c r="L94" s="331">
        <f>G94*L60</f>
        <v>0</v>
      </c>
      <c r="M94" s="332">
        <f>H94*M60</f>
        <v>0</v>
      </c>
      <c r="N94" s="374">
        <f t="shared" si="32"/>
        <v>7.8815296451121526</v>
      </c>
      <c r="O94" s="334">
        <f t="shared" si="37"/>
        <v>8.2313911089035603</v>
      </c>
      <c r="P94" s="334">
        <f t="shared" si="37"/>
        <v>12.838100362045148</v>
      </c>
      <c r="Q94" s="348">
        <f t="shared" si="37"/>
        <v>30.784293795430589</v>
      </c>
      <c r="R94" s="348">
        <f t="shared" si="37"/>
        <v>20.293558227191788</v>
      </c>
      <c r="S94" s="349">
        <f t="shared" si="37"/>
        <v>1</v>
      </c>
      <c r="T94" s="336">
        <v>1</v>
      </c>
      <c r="U94" s="337">
        <v>1</v>
      </c>
      <c r="V94" s="337">
        <v>1</v>
      </c>
      <c r="W94" s="337">
        <v>1</v>
      </c>
      <c r="X94" s="337">
        <v>1</v>
      </c>
      <c r="Y94" s="338">
        <f t="shared" si="34"/>
        <v>1</v>
      </c>
      <c r="Z94" s="336">
        <v>0</v>
      </c>
      <c r="AA94" s="337">
        <v>0</v>
      </c>
      <c r="AB94" s="337">
        <v>0</v>
      </c>
      <c r="AC94" s="337">
        <f t="shared" si="38"/>
        <v>290.80907301204257</v>
      </c>
      <c r="AD94" s="337">
        <f t="shared" si="38"/>
        <v>0</v>
      </c>
      <c r="AE94" s="338">
        <f t="shared" si="38"/>
        <v>0</v>
      </c>
    </row>
    <row r="95" spans="2:31" x14ac:dyDescent="0.2">
      <c r="B95" s="365">
        <v>2041</v>
      </c>
      <c r="C95" s="301">
        <f t="shared" si="36"/>
        <v>84371.726593949134</v>
      </c>
      <c r="D95" s="302">
        <f t="shared" si="36"/>
        <v>1784.3023586972981</v>
      </c>
      <c r="E95" s="302">
        <f t="shared" si="36"/>
        <v>4531.1420379960437</v>
      </c>
      <c r="F95" s="302">
        <f t="shared" si="36"/>
        <v>79183.216654378979</v>
      </c>
      <c r="G95" s="302">
        <f t="shared" si="36"/>
        <v>44377.964394286326</v>
      </c>
      <c r="H95" s="303">
        <f t="shared" si="36"/>
        <v>0</v>
      </c>
      <c r="I95" s="366">
        <f>D95*I60</f>
        <v>0</v>
      </c>
      <c r="J95" s="367">
        <f>E95*J60</f>
        <v>0</v>
      </c>
      <c r="K95" s="367">
        <f>F95*K60</f>
        <v>0</v>
      </c>
      <c r="L95" s="367">
        <f>G95*L60</f>
        <v>0</v>
      </c>
      <c r="M95" s="368">
        <f>H95*M60</f>
        <v>0</v>
      </c>
      <c r="N95" s="371">
        <f t="shared" si="32"/>
        <v>7.8832558955587535</v>
      </c>
      <c r="O95" s="343">
        <f t="shared" si="37"/>
        <v>8.3662890508367997</v>
      </c>
      <c r="P95" s="343">
        <f t="shared" si="37"/>
        <v>13.20168126124001</v>
      </c>
      <c r="Q95" s="343">
        <f t="shared" si="37"/>
        <v>31.634217542281366</v>
      </c>
      <c r="R95" s="343">
        <f t="shared" si="37"/>
        <v>20.96215179750196</v>
      </c>
      <c r="S95" s="344">
        <f t="shared" si="37"/>
        <v>1</v>
      </c>
      <c r="T95" s="310">
        <v>1</v>
      </c>
      <c r="U95" s="311">
        <v>1</v>
      </c>
      <c r="V95" s="311">
        <v>1</v>
      </c>
      <c r="W95" s="311">
        <v>1</v>
      </c>
      <c r="X95" s="311">
        <v>1</v>
      </c>
      <c r="Y95" s="312">
        <f t="shared" si="34"/>
        <v>1</v>
      </c>
      <c r="Z95" s="310">
        <v>0</v>
      </c>
      <c r="AA95" s="311">
        <v>0</v>
      </c>
      <c r="AB95" s="311">
        <v>0</v>
      </c>
      <c r="AC95" s="311">
        <f t="shared" si="38"/>
        <v>291.33634461085046</v>
      </c>
      <c r="AD95" s="311">
        <f t="shared" si="38"/>
        <v>0</v>
      </c>
      <c r="AE95" s="312">
        <f t="shared" si="38"/>
        <v>0</v>
      </c>
    </row>
    <row r="96" spans="2:31" x14ac:dyDescent="0.2">
      <c r="B96" s="313">
        <v>2042</v>
      </c>
      <c r="C96" s="314">
        <f t="shared" si="36"/>
        <v>84392.430679444951</v>
      </c>
      <c r="D96" s="315">
        <f t="shared" si="36"/>
        <v>1631.098102915345</v>
      </c>
      <c r="E96" s="315">
        <f t="shared" si="36"/>
        <v>3859.8264908396181</v>
      </c>
      <c r="F96" s="315">
        <f t="shared" si="36"/>
        <v>70124.359689872741</v>
      </c>
      <c r="G96" s="315">
        <f t="shared" si="36"/>
        <v>40286.472251300744</v>
      </c>
      <c r="H96" s="316">
        <f t="shared" si="36"/>
        <v>0</v>
      </c>
      <c r="I96" s="317">
        <f>D96*I60</f>
        <v>0</v>
      </c>
      <c r="J96" s="318">
        <f>E96*J60</f>
        <v>0</v>
      </c>
      <c r="K96" s="318">
        <f>F96*K60</f>
        <v>0</v>
      </c>
      <c r="L96" s="318">
        <f>G96*L60</f>
        <v>0</v>
      </c>
      <c r="M96" s="319">
        <f>H96*M60</f>
        <v>0</v>
      </c>
      <c r="N96" s="372">
        <f t="shared" si="32"/>
        <v>7.8853279467657602</v>
      </c>
      <c r="O96" s="321">
        <f t="shared" si="37"/>
        <v>8.5396823576601122</v>
      </c>
      <c r="P96" s="321">
        <f t="shared" si="37"/>
        <v>13.669015999677978</v>
      </c>
      <c r="Q96" s="321">
        <f t="shared" si="37"/>
        <v>32.726681125506744</v>
      </c>
      <c r="R96" s="321">
        <f t="shared" si="37"/>
        <v>21.821539631115151</v>
      </c>
      <c r="S96" s="322">
        <f t="shared" si="37"/>
        <v>1</v>
      </c>
      <c r="T96" s="323">
        <v>1</v>
      </c>
      <c r="U96" s="324">
        <v>1</v>
      </c>
      <c r="V96" s="324">
        <v>1</v>
      </c>
      <c r="W96" s="324">
        <v>1</v>
      </c>
      <c r="X96" s="324">
        <v>1</v>
      </c>
      <c r="Y96" s="325">
        <f t="shared" si="34"/>
        <v>1</v>
      </c>
      <c r="Z96" s="323">
        <v>0</v>
      </c>
      <c r="AA96" s="324">
        <v>0</v>
      </c>
      <c r="AB96" s="324">
        <v>0</v>
      </c>
      <c r="AC96" s="324">
        <f t="shared" si="38"/>
        <v>291.86361620965835</v>
      </c>
      <c r="AD96" s="324">
        <f t="shared" si="38"/>
        <v>0</v>
      </c>
      <c r="AE96" s="325">
        <f t="shared" si="38"/>
        <v>0</v>
      </c>
    </row>
    <row r="97" spans="2:31" x14ac:dyDescent="0.2">
      <c r="B97" s="313">
        <v>2043</v>
      </c>
      <c r="C97" s="314">
        <f t="shared" si="36"/>
        <v>84416.778456341228</v>
      </c>
      <c r="D97" s="315">
        <f t="shared" si="36"/>
        <v>1453.3578667348015</v>
      </c>
      <c r="E97" s="315">
        <f t="shared" si="36"/>
        <v>3080.9983617237081</v>
      </c>
      <c r="F97" s="315">
        <f t="shared" si="36"/>
        <v>59614.707930010998</v>
      </c>
      <c r="G97" s="315">
        <f t="shared" si="36"/>
        <v>35539.719126765405</v>
      </c>
      <c r="H97" s="316">
        <f t="shared" si="36"/>
        <v>0</v>
      </c>
      <c r="I97" s="317">
        <f>D97*I60</f>
        <v>0</v>
      </c>
      <c r="J97" s="318">
        <f>E97*J60</f>
        <v>0</v>
      </c>
      <c r="K97" s="318">
        <f>F97*K60</f>
        <v>0</v>
      </c>
      <c r="L97" s="318">
        <f>G97*L60</f>
        <v>0</v>
      </c>
      <c r="M97" s="319">
        <f>H97*M60</f>
        <v>0</v>
      </c>
      <c r="N97" s="372">
        <f t="shared" si="32"/>
        <v>7.8877646562024601</v>
      </c>
      <c r="O97" s="321">
        <f t="shared" si="37"/>
        <v>8.7408449634219512</v>
      </c>
      <c r="P97" s="321">
        <f t="shared" si="37"/>
        <v>14.211195369052399</v>
      </c>
      <c r="Q97" s="321">
        <f t="shared" si="37"/>
        <v>33.994105025124</v>
      </c>
      <c r="R97" s="321">
        <f t="shared" si="37"/>
        <v>22.818560214763242</v>
      </c>
      <c r="S97" s="322">
        <f t="shared" si="37"/>
        <v>1</v>
      </c>
      <c r="T97" s="323">
        <v>1</v>
      </c>
      <c r="U97" s="324">
        <v>1</v>
      </c>
      <c r="V97" s="324">
        <v>1</v>
      </c>
      <c r="W97" s="324">
        <v>1</v>
      </c>
      <c r="X97" s="324">
        <v>1</v>
      </c>
      <c r="Y97" s="325">
        <f t="shared" si="34"/>
        <v>1</v>
      </c>
      <c r="Z97" s="323">
        <v>0</v>
      </c>
      <c r="AA97" s="324">
        <v>0</v>
      </c>
      <c r="AB97" s="324">
        <v>0</v>
      </c>
      <c r="AC97" s="324">
        <f t="shared" si="38"/>
        <v>292.39088780846623</v>
      </c>
      <c r="AD97" s="324">
        <f t="shared" si="38"/>
        <v>0</v>
      </c>
      <c r="AE97" s="325">
        <f t="shared" si="38"/>
        <v>0</v>
      </c>
    </row>
    <row r="98" spans="2:31" x14ac:dyDescent="0.2">
      <c r="B98" s="313">
        <v>2044</v>
      </c>
      <c r="C98" s="314">
        <f t="shared" si="36"/>
        <v>84454.394726259314</v>
      </c>
      <c r="D98" s="315">
        <f t="shared" si="36"/>
        <v>1270.0988486929491</v>
      </c>
      <c r="E98" s="315">
        <f t="shared" si="36"/>
        <v>2277.9878491227419</v>
      </c>
      <c r="F98" s="315">
        <f t="shared" si="36"/>
        <v>48778.734585642778</v>
      </c>
      <c r="G98" s="315">
        <f t="shared" si="36"/>
        <v>30645.580719039648</v>
      </c>
      <c r="H98" s="316">
        <f t="shared" si="36"/>
        <v>0</v>
      </c>
      <c r="I98" s="317">
        <f>D98*I60</f>
        <v>0</v>
      </c>
      <c r="J98" s="318">
        <f>E98*J60</f>
        <v>0</v>
      </c>
      <c r="K98" s="318">
        <f>F98*K60</f>
        <v>0</v>
      </c>
      <c r="L98" s="318">
        <f>G98*L60</f>
        <v>0</v>
      </c>
      <c r="M98" s="319">
        <f>H98*M60</f>
        <v>0</v>
      </c>
      <c r="N98" s="372">
        <f t="shared" si="32"/>
        <v>7.8915292676605535</v>
      </c>
      <c r="O98" s="321">
        <f t="shared" si="37"/>
        <v>8.9482536087058957</v>
      </c>
      <c r="P98" s="321">
        <f t="shared" si="37"/>
        <v>14.77020924778485</v>
      </c>
      <c r="Q98" s="321">
        <f t="shared" si="37"/>
        <v>35.300882062658161</v>
      </c>
      <c r="R98" s="321">
        <f t="shared" si="37"/>
        <v>23.846537993195302</v>
      </c>
      <c r="S98" s="322">
        <f t="shared" si="37"/>
        <v>1</v>
      </c>
      <c r="T98" s="323">
        <v>1</v>
      </c>
      <c r="U98" s="324">
        <v>1</v>
      </c>
      <c r="V98" s="324">
        <v>1</v>
      </c>
      <c r="W98" s="324">
        <v>1</v>
      </c>
      <c r="X98" s="324">
        <v>1</v>
      </c>
      <c r="Y98" s="325">
        <f t="shared" si="34"/>
        <v>1</v>
      </c>
      <c r="Z98" s="323">
        <v>0</v>
      </c>
      <c r="AA98" s="324">
        <v>0</v>
      </c>
      <c r="AB98" s="324">
        <v>0</v>
      </c>
      <c r="AC98" s="324">
        <f t="shared" si="38"/>
        <v>292.91815940727412</v>
      </c>
      <c r="AD98" s="324">
        <f t="shared" si="38"/>
        <v>0</v>
      </c>
      <c r="AE98" s="325">
        <f t="shared" si="38"/>
        <v>0</v>
      </c>
    </row>
    <row r="99" spans="2:31" ht="15" thickBot="1" x14ac:dyDescent="0.25">
      <c r="B99" s="326">
        <v>2045</v>
      </c>
      <c r="C99" s="327">
        <f t="shared" si="36"/>
        <v>84486.497002834571</v>
      </c>
      <c r="D99" s="328">
        <f t="shared" si="36"/>
        <v>1102.7542744436228</v>
      </c>
      <c r="E99" s="328">
        <f t="shared" si="36"/>
        <v>1544.7117801750601</v>
      </c>
      <c r="F99" s="328">
        <f t="shared" si="36"/>
        <v>38883.770805599823</v>
      </c>
      <c r="G99" s="328">
        <f t="shared" si="36"/>
        <v>26176.455450829933</v>
      </c>
      <c r="H99" s="329">
        <f t="shared" si="36"/>
        <v>0</v>
      </c>
      <c r="I99" s="330">
        <f>D99*I60</f>
        <v>0</v>
      </c>
      <c r="J99" s="331">
        <f>E99*J60</f>
        <v>0</v>
      </c>
      <c r="K99" s="331">
        <f>F99*K60</f>
        <v>0</v>
      </c>
      <c r="L99" s="331">
        <f>G99*L60</f>
        <v>0</v>
      </c>
      <c r="M99" s="332">
        <f>H99*M60</f>
        <v>0</v>
      </c>
      <c r="N99" s="374">
        <f t="shared" si="32"/>
        <v>7.8947420423053876</v>
      </c>
      <c r="O99" s="334">
        <f t="shared" si="37"/>
        <v>9.1376506261707853</v>
      </c>
      <c r="P99" s="334">
        <f t="shared" si="37"/>
        <v>15.280677657664587</v>
      </c>
      <c r="Q99" s="334">
        <f t="shared" si="37"/>
        <v>36.494176937429401</v>
      </c>
      <c r="R99" s="334">
        <f t="shared" si="37"/>
        <v>24.785244887445899</v>
      </c>
      <c r="S99" s="335">
        <f t="shared" si="37"/>
        <v>1</v>
      </c>
      <c r="T99" s="336">
        <v>1</v>
      </c>
      <c r="U99" s="337">
        <v>1</v>
      </c>
      <c r="V99" s="337">
        <v>1</v>
      </c>
      <c r="W99" s="337">
        <v>1</v>
      </c>
      <c r="X99" s="337">
        <v>1</v>
      </c>
      <c r="Y99" s="338">
        <f t="shared" si="34"/>
        <v>1</v>
      </c>
      <c r="Z99" s="336">
        <v>0</v>
      </c>
      <c r="AA99" s="337">
        <v>0</v>
      </c>
      <c r="AB99" s="337">
        <v>0</v>
      </c>
      <c r="AC99" s="337">
        <f t="shared" si="38"/>
        <v>293.445431006082</v>
      </c>
      <c r="AD99" s="337">
        <f t="shared" si="38"/>
        <v>0</v>
      </c>
      <c r="AE99" s="338">
        <f t="shared" si="38"/>
        <v>0</v>
      </c>
    </row>
    <row r="100" spans="2:31" x14ac:dyDescent="0.2">
      <c r="B100" s="365">
        <v>2046</v>
      </c>
      <c r="C100" s="301">
        <f t="shared" si="36"/>
        <v>84522.416710004894</v>
      </c>
      <c r="D100" s="302">
        <f t="shared" si="36"/>
        <v>966.05743568144931</v>
      </c>
      <c r="E100" s="302">
        <f t="shared" si="36"/>
        <v>945.72898665012781</v>
      </c>
      <c r="F100" s="302">
        <f t="shared" si="36"/>
        <v>30800.985483962722</v>
      </c>
      <c r="G100" s="302">
        <f t="shared" si="36"/>
        <v>22525.812465021441</v>
      </c>
      <c r="H100" s="303">
        <f t="shared" si="36"/>
        <v>0</v>
      </c>
      <c r="I100" s="366">
        <f>D100*I60</f>
        <v>0</v>
      </c>
      <c r="J100" s="367">
        <f>E100*J60</f>
        <v>0</v>
      </c>
      <c r="K100" s="367">
        <f>F100*K60</f>
        <v>0</v>
      </c>
      <c r="L100" s="367">
        <f>G100*L60</f>
        <v>0</v>
      </c>
      <c r="M100" s="368">
        <f>H100*M60</f>
        <v>0</v>
      </c>
      <c r="N100" s="371">
        <f t="shared" si="32"/>
        <v>7.8983368628838031</v>
      </c>
      <c r="O100" s="308">
        <f t="shared" si="37"/>
        <v>9.2923611907323895</v>
      </c>
      <c r="P100" s="308">
        <f t="shared" si="37"/>
        <v>15.697658119872758</v>
      </c>
      <c r="Q100" s="308">
        <f t="shared" si="37"/>
        <v>37.468930005008986</v>
      </c>
      <c r="R100" s="308">
        <f t="shared" si="37"/>
        <v>25.552035597834465</v>
      </c>
      <c r="S100" s="309">
        <f t="shared" si="37"/>
        <v>1</v>
      </c>
      <c r="T100" s="310">
        <v>1</v>
      </c>
      <c r="U100" s="311">
        <v>1</v>
      </c>
      <c r="V100" s="311">
        <v>1</v>
      </c>
      <c r="W100" s="311">
        <v>1</v>
      </c>
      <c r="X100" s="311">
        <v>1</v>
      </c>
      <c r="Y100" s="312">
        <f t="shared" si="34"/>
        <v>1</v>
      </c>
      <c r="Z100" s="310">
        <v>0</v>
      </c>
      <c r="AA100" s="311">
        <v>0</v>
      </c>
      <c r="AB100" s="311">
        <v>0</v>
      </c>
      <c r="AC100" s="311">
        <f t="shared" si="38"/>
        <v>293.97270260488989</v>
      </c>
      <c r="AD100" s="311">
        <f t="shared" si="38"/>
        <v>0</v>
      </c>
      <c r="AE100" s="312">
        <f t="shared" si="38"/>
        <v>0</v>
      </c>
    </row>
    <row r="101" spans="2:31" x14ac:dyDescent="0.2">
      <c r="B101" s="313">
        <v>2047</v>
      </c>
      <c r="C101" s="314">
        <f t="shared" si="36"/>
        <v>84572.040348507464</v>
      </c>
      <c r="D101" s="315">
        <f t="shared" si="36"/>
        <v>864.20397284266414</v>
      </c>
      <c r="E101" s="315">
        <f t="shared" si="36"/>
        <v>499.42406655241393</v>
      </c>
      <c r="F101" s="315">
        <f t="shared" si="36"/>
        <v>24778.46380865504</v>
      </c>
      <c r="G101" s="315">
        <f t="shared" si="36"/>
        <v>19805.70106332592</v>
      </c>
      <c r="H101" s="316">
        <f t="shared" si="36"/>
        <v>0</v>
      </c>
      <c r="I101" s="317">
        <f>D101*I60</f>
        <v>0</v>
      </c>
      <c r="J101" s="318">
        <f>E101*J60</f>
        <v>0</v>
      </c>
      <c r="K101" s="318">
        <f>F101*K60</f>
        <v>0</v>
      </c>
      <c r="L101" s="318">
        <f>G101*L60</f>
        <v>0</v>
      </c>
      <c r="M101" s="319">
        <f>H101*M60</f>
        <v>0</v>
      </c>
      <c r="N101" s="372">
        <f t="shared" si="32"/>
        <v>7.9033031638622333</v>
      </c>
      <c r="O101" s="321">
        <f t="shared" si="37"/>
        <v>9.4076367660934146</v>
      </c>
      <c r="P101" s="321">
        <f t="shared" si="37"/>
        <v>16.00835223977051</v>
      </c>
      <c r="Q101" s="321">
        <f t="shared" si="37"/>
        <v>38.195223138374267</v>
      </c>
      <c r="R101" s="321">
        <f t="shared" si="37"/>
        <v>26.123374992606923</v>
      </c>
      <c r="S101" s="322">
        <f t="shared" si="37"/>
        <v>1</v>
      </c>
      <c r="T101" s="323">
        <v>1</v>
      </c>
      <c r="U101" s="324">
        <v>1</v>
      </c>
      <c r="V101" s="324">
        <v>1</v>
      </c>
      <c r="W101" s="324">
        <v>1</v>
      </c>
      <c r="X101" s="324">
        <v>1</v>
      </c>
      <c r="Y101" s="325">
        <f t="shared" si="34"/>
        <v>1</v>
      </c>
      <c r="Z101" s="323">
        <v>0</v>
      </c>
      <c r="AA101" s="324">
        <v>0</v>
      </c>
      <c r="AB101" s="324">
        <v>0</v>
      </c>
      <c r="AC101" s="324">
        <f t="shared" si="38"/>
        <v>294.49997420369778</v>
      </c>
      <c r="AD101" s="324">
        <f t="shared" si="38"/>
        <v>0</v>
      </c>
      <c r="AE101" s="325">
        <f t="shared" si="38"/>
        <v>0</v>
      </c>
    </row>
    <row r="102" spans="2:31" x14ac:dyDescent="0.2">
      <c r="B102" s="313">
        <v>2048</v>
      </c>
      <c r="C102" s="314">
        <f t="shared" si="36"/>
        <v>84617.532525963965</v>
      </c>
      <c r="D102" s="315">
        <f t="shared" si="36"/>
        <v>793.3933997072611</v>
      </c>
      <c r="E102" s="315">
        <f t="shared" si="36"/>
        <v>189.14392187738667</v>
      </c>
      <c r="F102" s="315">
        <f t="shared" si="36"/>
        <v>20591.485775085952</v>
      </c>
      <c r="G102" s="315">
        <f t="shared" si="36"/>
        <v>17914.624982279245</v>
      </c>
      <c r="H102" s="316">
        <f t="shared" si="36"/>
        <v>0</v>
      </c>
      <c r="I102" s="317">
        <f>D102*I60</f>
        <v>0</v>
      </c>
      <c r="J102" s="318">
        <f>E102*J60</f>
        <v>0</v>
      </c>
      <c r="K102" s="318">
        <f>F102*K60</f>
        <v>0</v>
      </c>
      <c r="L102" s="318">
        <f>G102*L60</f>
        <v>0</v>
      </c>
      <c r="M102" s="319">
        <f>H102*M60</f>
        <v>0</v>
      </c>
      <c r="N102" s="372">
        <f t="shared" si="32"/>
        <v>7.9078559909468771</v>
      </c>
      <c r="O102" s="321">
        <f t="shared" si="37"/>
        <v>9.4877786614430857</v>
      </c>
      <c r="P102" s="321">
        <f t="shared" si="37"/>
        <v>16.22435303234624</v>
      </c>
      <c r="Q102" s="321">
        <f t="shared" si="37"/>
        <v>38.700156712594591</v>
      </c>
      <c r="R102" s="321">
        <f t="shared" si="37"/>
        <v>26.520581615446122</v>
      </c>
      <c r="S102" s="322">
        <f t="shared" si="37"/>
        <v>1</v>
      </c>
      <c r="T102" s="323">
        <v>1</v>
      </c>
      <c r="U102" s="324">
        <v>1</v>
      </c>
      <c r="V102" s="324">
        <v>1</v>
      </c>
      <c r="W102" s="324">
        <v>1</v>
      </c>
      <c r="X102" s="324">
        <v>1</v>
      </c>
      <c r="Y102" s="325">
        <f t="shared" si="34"/>
        <v>1</v>
      </c>
      <c r="Z102" s="323">
        <v>0</v>
      </c>
      <c r="AA102" s="324">
        <v>0</v>
      </c>
      <c r="AB102" s="324">
        <v>0</v>
      </c>
      <c r="AC102" s="324">
        <f t="shared" si="38"/>
        <v>295.02724580250566</v>
      </c>
      <c r="AD102" s="324">
        <f t="shared" si="38"/>
        <v>0</v>
      </c>
      <c r="AE102" s="325">
        <f t="shared" si="38"/>
        <v>0</v>
      </c>
    </row>
    <row r="103" spans="2:31" x14ac:dyDescent="0.2">
      <c r="B103" s="313">
        <v>2049</v>
      </c>
      <c r="C103" s="314">
        <f t="shared" si="36"/>
        <v>84669.900061685781</v>
      </c>
      <c r="D103" s="315">
        <f t="shared" si="36"/>
        <v>746.50355102261551</v>
      </c>
      <c r="E103" s="315">
        <f t="shared" si="36"/>
        <v>-16.319589988854204</v>
      </c>
      <c r="F103" s="315">
        <f t="shared" si="36"/>
        <v>17818.922897158511</v>
      </c>
      <c r="G103" s="315">
        <f t="shared" si="36"/>
        <v>16662.378779980143</v>
      </c>
      <c r="H103" s="316">
        <f t="shared" si="36"/>
        <v>0</v>
      </c>
      <c r="I103" s="317">
        <f>D103*I60</f>
        <v>0</v>
      </c>
      <c r="J103" s="318">
        <f>E103*J60</f>
        <v>0</v>
      </c>
      <c r="K103" s="318">
        <f>F103*K60</f>
        <v>0</v>
      </c>
      <c r="L103" s="318">
        <f>G103*L60</f>
        <v>0</v>
      </c>
      <c r="M103" s="319">
        <f>H103*M60</f>
        <v>0</v>
      </c>
      <c r="N103" s="372">
        <f t="shared" si="32"/>
        <v>7.9130968993474111</v>
      </c>
      <c r="O103" s="321">
        <f t="shared" si="37"/>
        <v>9.5408475914044502</v>
      </c>
      <c r="P103" s="321">
        <f t="shared" si="37"/>
        <v>16.367385972642769</v>
      </c>
      <c r="Q103" s="321">
        <f t="shared" si="37"/>
        <v>39.034517216155471</v>
      </c>
      <c r="R103" s="321">
        <f t="shared" si="37"/>
        <v>26.783606720550903</v>
      </c>
      <c r="S103" s="322">
        <f t="shared" si="37"/>
        <v>1</v>
      </c>
      <c r="T103" s="323">
        <v>1</v>
      </c>
      <c r="U103" s="324">
        <v>1</v>
      </c>
      <c r="V103" s="324">
        <v>1</v>
      </c>
      <c r="W103" s="324">
        <v>1</v>
      </c>
      <c r="X103" s="324">
        <v>1</v>
      </c>
      <c r="Y103" s="325">
        <f t="shared" si="34"/>
        <v>1</v>
      </c>
      <c r="Z103" s="323">
        <v>0</v>
      </c>
      <c r="AA103" s="324">
        <v>0</v>
      </c>
      <c r="AB103" s="324">
        <v>0</v>
      </c>
      <c r="AC103" s="324">
        <f t="shared" si="38"/>
        <v>295.55451740131355</v>
      </c>
      <c r="AD103" s="324">
        <f t="shared" si="38"/>
        <v>0</v>
      </c>
      <c r="AE103" s="325">
        <f t="shared" si="38"/>
        <v>0</v>
      </c>
    </row>
    <row r="104" spans="2:31" ht="15" thickBot="1" x14ac:dyDescent="0.25">
      <c r="B104" s="326">
        <v>2050</v>
      </c>
      <c r="C104" s="327">
        <f t="shared" si="36"/>
        <v>84730.5</v>
      </c>
      <c r="D104" s="328">
        <f t="shared" si="36"/>
        <v>667.5</v>
      </c>
      <c r="E104" s="328">
        <f t="shared" si="36"/>
        <v>-362.5</v>
      </c>
      <c r="F104" s="328">
        <f t="shared" si="36"/>
        <v>13147.5</v>
      </c>
      <c r="G104" s="328">
        <f t="shared" si="36"/>
        <v>14552.5</v>
      </c>
      <c r="H104" s="329">
        <f t="shared" si="36"/>
        <v>0</v>
      </c>
      <c r="I104" s="330">
        <f>D104*I60</f>
        <v>0</v>
      </c>
      <c r="J104" s="331">
        <f>E104*J60</f>
        <v>0</v>
      </c>
      <c r="K104" s="331">
        <f>F104*K60</f>
        <v>0</v>
      </c>
      <c r="L104" s="331">
        <f>G104*L60</f>
        <v>0</v>
      </c>
      <c r="M104" s="332">
        <f>H104*M60</f>
        <v>0</v>
      </c>
      <c r="N104" s="374">
        <f t="shared" si="32"/>
        <v>7.919161701164132</v>
      </c>
      <c r="O104" s="334">
        <f t="shared" si="37"/>
        <v>9.6302621242624156</v>
      </c>
      <c r="P104" s="334">
        <f t="shared" si="37"/>
        <v>16.608378650453059</v>
      </c>
      <c r="Q104" s="348">
        <f t="shared" si="37"/>
        <v>39.597872992384907</v>
      </c>
      <c r="R104" s="348">
        <f t="shared" si="37"/>
        <v>27.226771241109038</v>
      </c>
      <c r="S104" s="349">
        <f t="shared" si="37"/>
        <v>1</v>
      </c>
      <c r="T104" s="336">
        <v>1</v>
      </c>
      <c r="U104" s="337">
        <v>1</v>
      </c>
      <c r="V104" s="337">
        <v>1</v>
      </c>
      <c r="W104" s="337">
        <v>1</v>
      </c>
      <c r="X104" s="337">
        <v>1</v>
      </c>
      <c r="Y104" s="338">
        <f t="shared" si="34"/>
        <v>1</v>
      </c>
      <c r="Z104" s="336">
        <v>0</v>
      </c>
      <c r="AA104" s="337">
        <v>0</v>
      </c>
      <c r="AB104" s="337">
        <v>0</v>
      </c>
      <c r="AC104" s="337">
        <f t="shared" si="38"/>
        <v>296.08178900012103</v>
      </c>
      <c r="AD104" s="337">
        <f t="shared" si="38"/>
        <v>0</v>
      </c>
      <c r="AE104" s="338">
        <f t="shared" si="38"/>
        <v>0</v>
      </c>
    </row>
  </sheetData>
  <mergeCells count="8">
    <mergeCell ref="G4:H4"/>
    <mergeCell ref="O4:P4"/>
    <mergeCell ref="Z4:AA4"/>
    <mergeCell ref="C58:H58"/>
    <mergeCell ref="I58:M58"/>
    <mergeCell ref="N58:S58"/>
    <mergeCell ref="T58:Y58"/>
    <mergeCell ref="Z58:AE58"/>
  </mergeCells>
  <conditionalFormatting sqref="K6:N35">
    <cfRule type="expression" dxfId="43" priority="14">
      <formula>K6&lt;$J6</formula>
    </cfRule>
  </conditionalFormatting>
  <conditionalFormatting sqref="T74:T104">
    <cfRule type="expression" dxfId="42" priority="13">
      <formula>AND($G$8="N/A",$T74&gt;1)</formula>
    </cfRule>
  </conditionalFormatting>
  <conditionalFormatting sqref="V74:V104">
    <cfRule type="expression" dxfId="41" priority="11">
      <formula>AND($G$10="N/A",$V74&gt;1)</formula>
    </cfRule>
  </conditionalFormatting>
  <conditionalFormatting sqref="U74:U104">
    <cfRule type="expression" dxfId="40" priority="12">
      <formula>AND($G$9="N/A",$U74&gt;1)</formula>
    </cfRule>
  </conditionalFormatting>
  <conditionalFormatting sqref="W74:W104">
    <cfRule type="expression" dxfId="39" priority="10">
      <formula>AND($G$11="N/A",$W74&gt;1)</formula>
    </cfRule>
  </conditionalFormatting>
  <conditionalFormatting sqref="X74:X104">
    <cfRule type="expression" dxfId="38" priority="9">
      <formula>AND($G$12="N/A",$X74&gt;1)</formula>
    </cfRule>
  </conditionalFormatting>
  <conditionalFormatting sqref="Y74:Y104">
    <cfRule type="expression" dxfId="37" priority="8">
      <formula>AND($G$13="N/A",$Y74&gt;1)</formula>
    </cfRule>
  </conditionalFormatting>
  <conditionalFormatting sqref="Z59:AE59">
    <cfRule type="expression" dxfId="36" priority="7">
      <formula>INDEX($H$8:$H$13,MATCH(Z$20,$B$8:$B$13,0))=TRUE</formula>
    </cfRule>
  </conditionalFormatting>
  <conditionalFormatting sqref="T61:T73">
    <cfRule type="expression" dxfId="35" priority="6">
      <formula>AND($G$8="N/A",$T61&gt;1)</formula>
    </cfRule>
  </conditionalFormatting>
  <conditionalFormatting sqref="V61:V73">
    <cfRule type="expression" dxfId="34" priority="4">
      <formula>AND($G$10="N/A",$V61&gt;1)</formula>
    </cfRule>
  </conditionalFormatting>
  <conditionalFormatting sqref="U61:U73">
    <cfRule type="expression" dxfId="33" priority="5">
      <formula>AND($G$9="N/A",U61&gt;1)</formula>
    </cfRule>
  </conditionalFormatting>
  <conditionalFormatting sqref="W61:W73">
    <cfRule type="expression" dxfId="32" priority="3">
      <formula>AND($G$11="N/A",$W61&gt;1)</formula>
    </cfRule>
  </conditionalFormatting>
  <conditionalFormatting sqref="X61:X73">
    <cfRule type="expression" dxfId="31" priority="2">
      <formula>AND($G$12="N/A",$X61&gt;1)</formula>
    </cfRule>
  </conditionalFormatting>
  <conditionalFormatting sqref="Y61:Y73">
    <cfRule type="expression" dxfId="30" priority="1">
      <formula>AND($G$13="N/A",$Y61&gt;1)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379F5-DEF0-4AD7-B5F3-9204B35525E8}">
  <sheetPr codeName="Sheet12"/>
  <dimension ref="A1:AN104"/>
  <sheetViews>
    <sheetView tabSelected="1" zoomScaleNormal="100" workbookViewId="0">
      <selection activeCell="L93" sqref="L92:L93"/>
    </sheetView>
  </sheetViews>
  <sheetFormatPr baseColWidth="10" defaultColWidth="9.1640625" defaultRowHeight="14" x14ac:dyDescent="0.2"/>
  <cols>
    <col min="1" max="8" width="9.1640625" style="22"/>
    <col min="9" max="9" width="9.1640625" style="191"/>
    <col min="10" max="27" width="9.1640625" style="22"/>
    <col min="28" max="28" width="2.1640625" style="191" customWidth="1"/>
    <col min="29" max="16384" width="9.1640625" style="22"/>
  </cols>
  <sheetData>
    <row r="1" spans="1:40" x14ac:dyDescent="0.2">
      <c r="C1" s="22" t="s">
        <v>113</v>
      </c>
      <c r="J1" s="22" t="s">
        <v>131</v>
      </c>
      <c r="K1" s="22" t="s">
        <v>133</v>
      </c>
      <c r="Q1" s="192" t="s">
        <v>137</v>
      </c>
      <c r="R1" s="193"/>
      <c r="V1" s="22" t="s">
        <v>136</v>
      </c>
      <c r="AC1" s="22" t="s">
        <v>218</v>
      </c>
    </row>
    <row r="2" spans="1:40" x14ac:dyDescent="0.2">
      <c r="C2" s="22" t="s">
        <v>299</v>
      </c>
      <c r="J2" s="22" t="s">
        <v>300</v>
      </c>
      <c r="Q2" s="192"/>
      <c r="R2" s="193"/>
      <c r="AC2" s="22">
        <f>'Class 6 Box Truck'!D83</f>
        <v>72485</v>
      </c>
    </row>
    <row r="3" spans="1:40" x14ac:dyDescent="0.2">
      <c r="C3" s="177">
        <f>Constant!$D$18</f>
        <v>1.0024411160324416</v>
      </c>
      <c r="D3" s="177">
        <f>Constant!$D$18</f>
        <v>1.0024411160324416</v>
      </c>
      <c r="E3" s="177">
        <v>1</v>
      </c>
      <c r="F3" s="177">
        <f>Constant!$D$18</f>
        <v>1.0024411160324416</v>
      </c>
      <c r="G3" s="177"/>
      <c r="Q3" s="192"/>
      <c r="R3" s="193" t="s">
        <v>191</v>
      </c>
      <c r="AC3" s="194"/>
      <c r="AD3" s="22" t="s">
        <v>190</v>
      </c>
      <c r="AJ3" s="22" t="s">
        <v>222</v>
      </c>
    </row>
    <row r="4" spans="1:40" x14ac:dyDescent="0.2">
      <c r="B4" s="22" t="s">
        <v>302</v>
      </c>
      <c r="C4" s="22" t="s">
        <v>115</v>
      </c>
      <c r="D4" s="22" t="s">
        <v>86</v>
      </c>
      <c r="E4" s="22" t="s">
        <v>80</v>
      </c>
      <c r="F4" s="22" t="s">
        <v>116</v>
      </c>
      <c r="G4" s="377" t="s">
        <v>117</v>
      </c>
      <c r="H4" s="377"/>
      <c r="I4" s="195" t="s">
        <v>301</v>
      </c>
      <c r="J4" s="22" t="s">
        <v>49</v>
      </c>
      <c r="K4" s="22" t="s">
        <v>134</v>
      </c>
      <c r="L4" s="22" t="s">
        <v>86</v>
      </c>
      <c r="M4" s="22" t="s">
        <v>80</v>
      </c>
      <c r="N4" s="22" t="s">
        <v>116</v>
      </c>
      <c r="O4" s="377" t="s">
        <v>117</v>
      </c>
      <c r="P4" s="377"/>
      <c r="Q4" s="196" t="s">
        <v>80</v>
      </c>
      <c r="R4" s="197" t="s">
        <v>116</v>
      </c>
      <c r="S4" s="198" t="s">
        <v>117</v>
      </c>
      <c r="V4" s="22" t="s">
        <v>115</v>
      </c>
      <c r="W4" s="22" t="s">
        <v>86</v>
      </c>
      <c r="X4" s="22" t="s">
        <v>80</v>
      </c>
      <c r="Y4" s="22" t="s">
        <v>116</v>
      </c>
      <c r="Z4" s="377" t="s">
        <v>117</v>
      </c>
      <c r="AA4" s="377"/>
      <c r="AB4" s="195"/>
      <c r="AC4" s="22" t="s">
        <v>49</v>
      </c>
      <c r="AD4" s="22" t="s">
        <v>134</v>
      </c>
      <c r="AE4" s="22" t="s">
        <v>86</v>
      </c>
      <c r="AF4" s="22" t="s">
        <v>80</v>
      </c>
      <c r="AG4" s="22" t="s">
        <v>116</v>
      </c>
      <c r="AH4" s="199" t="s">
        <v>117</v>
      </c>
      <c r="AI4" s="199"/>
      <c r="AJ4" s="22" t="s">
        <v>134</v>
      </c>
      <c r="AK4" s="22" t="s">
        <v>86</v>
      </c>
      <c r="AL4" s="22" t="s">
        <v>80</v>
      </c>
      <c r="AM4" s="22" t="s">
        <v>116</v>
      </c>
      <c r="AN4" s="199" t="s">
        <v>117</v>
      </c>
    </row>
    <row r="5" spans="1:40" x14ac:dyDescent="0.2">
      <c r="C5" s="198"/>
      <c r="D5" s="198"/>
      <c r="E5" s="198"/>
      <c r="F5" s="198"/>
      <c r="G5" s="198" t="s">
        <v>118</v>
      </c>
      <c r="H5" s="198" t="s">
        <v>119</v>
      </c>
      <c r="I5" s="195" t="s">
        <v>205</v>
      </c>
      <c r="J5" s="195" t="s">
        <v>201</v>
      </c>
      <c r="K5" s="198"/>
      <c r="L5" s="198"/>
      <c r="M5" s="198"/>
      <c r="N5" s="198"/>
      <c r="O5" s="198" t="s">
        <v>118</v>
      </c>
      <c r="P5" s="198" t="s">
        <v>119</v>
      </c>
      <c r="Q5" s="196" t="s">
        <v>119</v>
      </c>
      <c r="R5" s="197"/>
      <c r="S5" s="198" t="s">
        <v>119</v>
      </c>
      <c r="V5" s="198"/>
      <c r="W5" s="198"/>
      <c r="X5" s="198"/>
      <c r="Y5" s="198"/>
      <c r="Z5" s="198"/>
      <c r="AA5" s="198"/>
      <c r="AB5" s="195"/>
      <c r="AC5" s="217" t="s">
        <v>131</v>
      </c>
      <c r="AD5" s="198"/>
      <c r="AE5" s="198"/>
      <c r="AF5" s="198"/>
      <c r="AG5" s="198"/>
      <c r="AH5" s="198"/>
      <c r="AI5" s="198"/>
    </row>
    <row r="6" spans="1:40" x14ac:dyDescent="0.2">
      <c r="A6" s="200">
        <v>2021</v>
      </c>
      <c r="B6" s="201">
        <f>Constant!U41</f>
        <v>6.7321384721553654</v>
      </c>
      <c r="C6" s="201">
        <f>C$3*'Class 6 Box Truck'!$D78</f>
        <v>6.9292659942511481</v>
      </c>
      <c r="D6" s="201">
        <f>D$3*'Class 6 Box Truck'!$N78</f>
        <v>11.482664672020116</v>
      </c>
      <c r="E6" s="201">
        <f>E3*'Class 6 Box Truck'!$I78</f>
        <v>30.122132906680143</v>
      </c>
      <c r="F6" s="201">
        <f>F$3*'Class 6 Box Truck'!$S78</f>
        <v>18.720382419146905</v>
      </c>
      <c r="G6" s="201"/>
      <c r="H6" s="201"/>
      <c r="I6" s="201">
        <f>Constant!U52</f>
        <v>7.9749431617924378</v>
      </c>
      <c r="J6" s="203">
        <v>9.993194235359379</v>
      </c>
      <c r="K6" s="203">
        <f>C6/B6*J6</f>
        <v>10.285810560110578</v>
      </c>
      <c r="L6" s="203">
        <f>$K6*D6/$C6</f>
        <v>17.044880892097616</v>
      </c>
      <c r="M6" s="203">
        <f>$K6*E6/$C6</f>
        <v>44.713329377402353</v>
      </c>
      <c r="N6" s="203">
        <f>$K6*F6/$C6</f>
        <v>27.788557595555133</v>
      </c>
      <c r="Q6" s="204">
        <f>'Class 6 Box Truck'!I73</f>
        <v>177.9239457077002</v>
      </c>
      <c r="R6" s="205"/>
      <c r="S6" s="200"/>
      <c r="U6" s="200">
        <v>2021</v>
      </c>
      <c r="V6" s="206">
        <f>'Class 6 Box Truck'!D$83</f>
        <v>72485</v>
      </c>
      <c r="W6" s="206">
        <f>'Class 6 Box Truck'!$N$83</f>
        <v>81903</v>
      </c>
      <c r="X6" s="206">
        <f>'Class 6 Box Truck'!$I$83</f>
        <v>208909</v>
      </c>
      <c r="Y6" s="206">
        <f>'Class 6 Box Truck'!$S$83</f>
        <v>138016</v>
      </c>
      <c r="Z6" s="201"/>
      <c r="AA6" s="201"/>
      <c r="AB6" s="202"/>
      <c r="AC6" s="218">
        <f>AC2</f>
        <v>72485</v>
      </c>
      <c r="AD6" s="206">
        <f t="shared" ref="AD6" si="0">V6-$AC6</f>
        <v>0</v>
      </c>
      <c r="AE6" s="206">
        <f>W6-$AC6</f>
        <v>9418</v>
      </c>
      <c r="AF6" s="206">
        <f>X6-$AC6</f>
        <v>136424</v>
      </c>
      <c r="AG6" s="206">
        <f>Y6-$AC6</f>
        <v>65531</v>
      </c>
      <c r="AH6" s="200"/>
      <c r="AJ6" s="212">
        <f>AD6/(100000*(1/$J6-1/K6))</f>
        <v>0</v>
      </c>
      <c r="AK6" s="212">
        <f>AE6/(100000*(1/$J6-1/L6))</f>
        <v>2.2749087417470895</v>
      </c>
      <c r="AL6" s="212">
        <f>AF6/(100000*(1/$J6-1/M6))</f>
        <v>17.557016195881953</v>
      </c>
      <c r="AM6" s="212">
        <f>AG6/(100000*(1/$J6-1/N6))</f>
        <v>10.226105492055821</v>
      </c>
      <c r="AN6" s="212"/>
    </row>
    <row r="7" spans="1:40" x14ac:dyDescent="0.2">
      <c r="A7" s="22">
        <v>2022</v>
      </c>
      <c r="B7" s="203">
        <f>B6</f>
        <v>6.7321384721553654</v>
      </c>
      <c r="C7" s="203">
        <f t="shared" ref="C7:F11" si="1">C$6+(C$12-C$6)/(1+EXP(-($A7-$A$6-($A$12-$A$6)*$C$42)/$C$39))</f>
        <v>7.1618398884696761</v>
      </c>
      <c r="D7" s="203">
        <f t="shared" si="1"/>
        <v>11.800397008782864</v>
      </c>
      <c r="E7" s="203">
        <f t="shared" si="1"/>
        <v>30.75482712882468</v>
      </c>
      <c r="F7" s="203">
        <f t="shared" si="1"/>
        <v>19.186514884632928</v>
      </c>
      <c r="G7" s="203"/>
      <c r="H7" s="203"/>
      <c r="I7" s="202">
        <f>I6</f>
        <v>7.9749431617924378</v>
      </c>
      <c r="J7" s="203">
        <v>10.175060148623018</v>
      </c>
      <c r="K7" s="203">
        <f t="shared" ref="K7:K35" si="2">K6*C7/C6</f>
        <v>10.631043521169319</v>
      </c>
      <c r="L7" s="203">
        <f t="shared" ref="L7:N35" si="3">$K7*D7/$C7</f>
        <v>17.516523145039596</v>
      </c>
      <c r="M7" s="203">
        <f t="shared" si="3"/>
        <v>45.652501422010587</v>
      </c>
      <c r="N7" s="203">
        <f t="shared" si="3"/>
        <v>28.480485173437739</v>
      </c>
      <c r="Q7" s="208">
        <f>Q6+(Q$12-Q$6)/($A$12-$A$6)</f>
        <v>180.37491051886633</v>
      </c>
      <c r="R7" s="209"/>
      <c r="U7" s="22">
        <v>2022</v>
      </c>
      <c r="V7" s="186">
        <f>V6+(V$12-V$6)/($A$12-$A$6)</f>
        <v>72670.833333333328</v>
      </c>
      <c r="W7" s="186">
        <f>W6+(W$12-W$6)/($A$12-$A$6)</f>
        <v>81533.5</v>
      </c>
      <c r="X7" s="186">
        <f>X6+(X$12-X$6)/($A$12-$A$6)</f>
        <v>200163.33333333334</v>
      </c>
      <c r="Y7" s="186">
        <f>Y6+(Y$12-Y$6)/($A$12-$A$6)</f>
        <v>134454.66666666666</v>
      </c>
      <c r="Z7" s="203"/>
      <c r="AA7" s="203"/>
      <c r="AB7" s="202"/>
      <c r="AC7" s="207">
        <f t="shared" ref="AC7:AG11" si="4">AC$6+(AC$12-AC$6)*(J7-J$6)/(J$12-J$6)</f>
        <v>72545.271035851692</v>
      </c>
      <c r="AD7" s="186">
        <f t="shared" si="4"/>
        <v>81.193194129489726</v>
      </c>
      <c r="AE7" s="186">
        <f t="shared" si="4"/>
        <v>9013.9273235654528</v>
      </c>
      <c r="AF7" s="186">
        <f t="shared" si="4"/>
        <v>128700.59753456876</v>
      </c>
      <c r="AG7" s="186">
        <f t="shared" si="4"/>
        <v>62337.813671953212</v>
      </c>
      <c r="AJ7" s="212">
        <f t="shared" ref="AJ7:AM35" si="5">AD7/(100000*(1/$J7-1/K7))</f>
        <v>0.19261207135800912</v>
      </c>
      <c r="AK7" s="212">
        <f t="shared" si="5"/>
        <v>2.1883477181230262</v>
      </c>
      <c r="AL7" s="212">
        <f t="shared" si="5"/>
        <v>16.851161361806309</v>
      </c>
      <c r="AM7" s="212">
        <f t="shared" si="5"/>
        <v>9.8686129934103377</v>
      </c>
    </row>
    <row r="8" spans="1:40" x14ac:dyDescent="0.2">
      <c r="A8" s="22">
        <v>2023</v>
      </c>
      <c r="B8" s="203">
        <f>B7</f>
        <v>6.7321384721553654</v>
      </c>
      <c r="C8" s="203">
        <f t="shared" si="1"/>
        <v>7.3587469446322809</v>
      </c>
      <c r="D8" s="203">
        <f t="shared" si="1"/>
        <v>12.069402862986058</v>
      </c>
      <c r="E8" s="203">
        <f t="shared" si="1"/>
        <v>31.290493254002559</v>
      </c>
      <c r="F8" s="203">
        <f t="shared" si="1"/>
        <v>19.581162666874679</v>
      </c>
      <c r="G8" s="203"/>
      <c r="H8" s="203"/>
      <c r="I8" s="202">
        <f>I7</f>
        <v>7.9749431617924378</v>
      </c>
      <c r="J8" s="203">
        <v>10.410221008353947</v>
      </c>
      <c r="K8" s="203">
        <f t="shared" si="2"/>
        <v>10.923332586031014</v>
      </c>
      <c r="L8" s="203">
        <f t="shared" si="3"/>
        <v>17.915835750182822</v>
      </c>
      <c r="M8" s="203">
        <f t="shared" si="3"/>
        <v>46.447644845804582</v>
      </c>
      <c r="N8" s="203">
        <f t="shared" si="3"/>
        <v>29.066300803761958</v>
      </c>
      <c r="Q8" s="208">
        <f t="shared" ref="Q8:Q11" si="6">Q7+(Q$12-Q$6)/($A$12-$A$6)</f>
        <v>182.82587533003246</v>
      </c>
      <c r="R8" s="209"/>
      <c r="U8" s="22">
        <v>2023</v>
      </c>
      <c r="V8" s="186">
        <f t="shared" ref="V8:Y11" si="7">V7+(V$12-V$6)/($A$12-$A$6)</f>
        <v>72856.666666666657</v>
      </c>
      <c r="W8" s="186">
        <f t="shared" si="7"/>
        <v>81164</v>
      </c>
      <c r="X8" s="186">
        <f>X7+(X$12-X$6)/($A$12-$A$6)</f>
        <v>191417.66666666669</v>
      </c>
      <c r="Y8" s="186">
        <f t="shared" si="7"/>
        <v>130893.33333333333</v>
      </c>
      <c r="Z8" s="203"/>
      <c r="AA8" s="203"/>
      <c r="AB8" s="202"/>
      <c r="AC8" s="207">
        <f t="shared" si="4"/>
        <v>72623.204213946534</v>
      </c>
      <c r="AD8" s="186">
        <f t="shared" si="4"/>
        <v>149.93484241377578</v>
      </c>
      <c r="AE8" s="186">
        <f t="shared" si="4"/>
        <v>8671.8220264089559</v>
      </c>
      <c r="AF8" s="186">
        <f t="shared" si="4"/>
        <v>122161.63301261718</v>
      </c>
      <c r="AG8" s="186">
        <f t="shared" si="4"/>
        <v>59634.324865752191</v>
      </c>
      <c r="AJ8" s="212">
        <f t="shared" si="5"/>
        <v>0.33228126877813086</v>
      </c>
      <c r="AK8" s="212">
        <f t="shared" si="5"/>
        <v>2.1548701711483251</v>
      </c>
      <c r="AL8" s="212">
        <f t="shared" si="5"/>
        <v>16.390973170819283</v>
      </c>
      <c r="AM8" s="212">
        <f t="shared" si="5"/>
        <v>9.6722080482477644</v>
      </c>
    </row>
    <row r="9" spans="1:40" x14ac:dyDescent="0.2">
      <c r="A9" s="22">
        <v>2024</v>
      </c>
      <c r="B9" s="201">
        <f>Constant!V41</f>
        <v>7.2698652250296014</v>
      </c>
      <c r="C9" s="203">
        <f t="shared" si="1"/>
        <v>7.6360076521629079</v>
      </c>
      <c r="D9" s="203">
        <f t="shared" si="1"/>
        <v>12.448184380112933</v>
      </c>
      <c r="E9" s="203">
        <f t="shared" si="1"/>
        <v>32.044753521569419</v>
      </c>
      <c r="F9" s="203">
        <f t="shared" si="1"/>
        <v>20.136857955109459</v>
      </c>
      <c r="G9" s="203"/>
      <c r="H9" s="203"/>
      <c r="I9" s="201">
        <f>Constant!V52</f>
        <v>8.6300769718003476</v>
      </c>
      <c r="J9" s="203">
        <v>10.694775449062888</v>
      </c>
      <c r="K9" s="203">
        <f t="shared" si="2"/>
        <v>11.334898705124766</v>
      </c>
      <c r="L9" s="203">
        <f t="shared" si="3"/>
        <v>18.478099477981797</v>
      </c>
      <c r="M9" s="203">
        <f t="shared" si="3"/>
        <v>47.56726967066303</v>
      </c>
      <c r="N9" s="203">
        <f t="shared" si="3"/>
        <v>29.891175540663543</v>
      </c>
      <c r="Q9" s="208">
        <f t="shared" si="6"/>
        <v>185.27684014119859</v>
      </c>
      <c r="R9" s="209"/>
      <c r="U9" s="22">
        <v>2024</v>
      </c>
      <c r="V9" s="186">
        <f t="shared" si="7"/>
        <v>73042.499999999985</v>
      </c>
      <c r="W9" s="186">
        <f t="shared" si="7"/>
        <v>80794.5</v>
      </c>
      <c r="X9" s="186">
        <f>X8+(X$12-X$6)/($A$12-$A$6)</f>
        <v>182672.00000000003</v>
      </c>
      <c r="Y9" s="186">
        <f t="shared" si="7"/>
        <v>127332</v>
      </c>
      <c r="Z9" s="203"/>
      <c r="AA9" s="203"/>
      <c r="AB9" s="202"/>
      <c r="AC9" s="207">
        <f t="shared" si="4"/>
        <v>72717.506607341507</v>
      </c>
      <c r="AD9" s="186">
        <f t="shared" si="4"/>
        <v>246.72851965195215</v>
      </c>
      <c r="AE9" s="186">
        <f t="shared" si="4"/>
        <v>8190.1107125124308</v>
      </c>
      <c r="AF9" s="186">
        <f t="shared" si="4"/>
        <v>112954.25382973607</v>
      </c>
      <c r="AG9" s="186">
        <f t="shared" si="4"/>
        <v>55827.598820396874</v>
      </c>
      <c r="AJ9" s="212">
        <f t="shared" si="5"/>
        <v>0.4672454287180195</v>
      </c>
      <c r="AK9" s="212">
        <f t="shared" si="5"/>
        <v>2.0794746611061541</v>
      </c>
      <c r="AL9" s="212">
        <f t="shared" si="5"/>
        <v>15.584036944255361</v>
      </c>
      <c r="AM9" s="212">
        <f t="shared" si="5"/>
        <v>9.2970212045470841</v>
      </c>
    </row>
    <row r="10" spans="1:40" x14ac:dyDescent="0.2">
      <c r="A10" s="22">
        <v>2025</v>
      </c>
      <c r="B10" s="203">
        <f>B9</f>
        <v>7.2698652250296014</v>
      </c>
      <c r="C10" s="203">
        <f t="shared" si="1"/>
        <v>7.9376553310763871</v>
      </c>
      <c r="D10" s="203">
        <f t="shared" si="1"/>
        <v>12.860282316651693</v>
      </c>
      <c r="E10" s="203">
        <f t="shared" si="1"/>
        <v>32.865356127090323</v>
      </c>
      <c r="F10" s="203">
        <f t="shared" si="1"/>
        <v>20.741430436266608</v>
      </c>
      <c r="G10" s="203"/>
      <c r="H10" s="203"/>
      <c r="I10" s="202">
        <f>I9</f>
        <v>8.6300769718003476</v>
      </c>
      <c r="J10" s="203">
        <v>11.01664280967314</v>
      </c>
      <c r="K10" s="203">
        <f t="shared" si="2"/>
        <v>11.782664873110706</v>
      </c>
      <c r="L10" s="203">
        <f t="shared" si="3"/>
        <v>19.089818137788889</v>
      </c>
      <c r="M10" s="203">
        <f t="shared" si="3"/>
        <v>48.785373139706351</v>
      </c>
      <c r="N10" s="203">
        <f t="shared" si="3"/>
        <v>30.788603640003018</v>
      </c>
      <c r="Q10" s="208">
        <f t="shared" si="6"/>
        <v>187.72780495236472</v>
      </c>
      <c r="R10" s="209"/>
      <c r="U10" s="22">
        <v>2025</v>
      </c>
      <c r="V10" s="186">
        <f t="shared" si="7"/>
        <v>73228.333333333314</v>
      </c>
      <c r="W10" s="186">
        <f t="shared" si="7"/>
        <v>80425</v>
      </c>
      <c r="X10" s="186">
        <f>X9+(X$12-X$6)/($A$12-$A$6)</f>
        <v>173926.33333333337</v>
      </c>
      <c r="Y10" s="186">
        <f t="shared" si="7"/>
        <v>123770.66666666667</v>
      </c>
      <c r="Z10" s="203"/>
      <c r="AA10" s="203"/>
      <c r="AB10" s="202"/>
      <c r="AC10" s="207">
        <f t="shared" si="4"/>
        <v>72824.17464030438</v>
      </c>
      <c r="AD10" s="186">
        <f t="shared" si="4"/>
        <v>352.035861368128</v>
      </c>
      <c r="AE10" s="186">
        <f t="shared" si="4"/>
        <v>7666.0296011375058</v>
      </c>
      <c r="AF10" s="186">
        <f t="shared" si="4"/>
        <v>102937.02281229888</v>
      </c>
      <c r="AG10" s="186">
        <f t="shared" si="4"/>
        <v>51686.045240490246</v>
      </c>
      <c r="AJ10" s="212">
        <f t="shared" si="5"/>
        <v>0.59653842349715802</v>
      </c>
      <c r="AK10" s="212">
        <f t="shared" si="5"/>
        <v>1.9969958723653933</v>
      </c>
      <c r="AL10" s="212">
        <f t="shared" si="5"/>
        <v>14.647992790460384</v>
      </c>
      <c r="AM10" s="212">
        <f t="shared" si="5"/>
        <v>8.8667165110324522</v>
      </c>
    </row>
    <row r="11" spans="1:40" x14ac:dyDescent="0.2">
      <c r="A11" s="22">
        <v>2026</v>
      </c>
      <c r="B11" s="203">
        <f>B10</f>
        <v>7.2698652250296014</v>
      </c>
      <c r="C11" s="203">
        <f t="shared" si="1"/>
        <v>8.1862532530971581</v>
      </c>
      <c r="D11" s="203">
        <f t="shared" si="1"/>
        <v>13.199905983114473</v>
      </c>
      <c r="E11" s="203">
        <f t="shared" si="1"/>
        <v>33.541642128269345</v>
      </c>
      <c r="F11" s="203">
        <f t="shared" si="1"/>
        <v>21.239678800278448</v>
      </c>
      <c r="G11" s="203"/>
      <c r="H11" s="203"/>
      <c r="I11" s="202">
        <f>I10</f>
        <v>8.6300769718003476</v>
      </c>
      <c r="J11" s="203">
        <v>11.333252089569644</v>
      </c>
      <c r="K11" s="203">
        <f t="shared" si="2"/>
        <v>12.151683919812656</v>
      </c>
      <c r="L11" s="203">
        <f t="shared" si="3"/>
        <v>19.593955906185215</v>
      </c>
      <c r="M11" s="203">
        <f t="shared" si="3"/>
        <v>49.789252872184989</v>
      </c>
      <c r="N11" s="203">
        <f t="shared" si="3"/>
        <v>31.528204095283947</v>
      </c>
      <c r="Q11" s="208">
        <f t="shared" si="6"/>
        <v>190.17876976353085</v>
      </c>
      <c r="R11" s="209"/>
      <c r="U11" s="22">
        <v>2026</v>
      </c>
      <c r="V11" s="186">
        <f t="shared" si="7"/>
        <v>73414.166666666642</v>
      </c>
      <c r="W11" s="186">
        <f t="shared" si="7"/>
        <v>80055.5</v>
      </c>
      <c r="X11" s="186">
        <f>X10+(X$12-X$6)/($A$12-$A$6)</f>
        <v>165180.66666666672</v>
      </c>
      <c r="Y11" s="186">
        <f t="shared" si="7"/>
        <v>120209.33333333334</v>
      </c>
      <c r="Z11" s="203"/>
      <c r="AA11" s="203"/>
      <c r="AB11" s="202"/>
      <c r="AC11" s="207">
        <f t="shared" si="4"/>
        <v>72929.100125884273</v>
      </c>
      <c r="AD11" s="186">
        <f t="shared" si="4"/>
        <v>438.82315712478288</v>
      </c>
      <c r="AE11" s="186">
        <f t="shared" si="4"/>
        <v>7234.116861986241</v>
      </c>
      <c r="AF11" s="186">
        <f t="shared" si="4"/>
        <v>94681.488328139269</v>
      </c>
      <c r="AG11" s="186">
        <f t="shared" si="4"/>
        <v>48272.852678853502</v>
      </c>
      <c r="AJ11" s="212">
        <f t="shared" si="5"/>
        <v>0.73841079932153342</v>
      </c>
      <c r="AK11" s="212">
        <f t="shared" si="5"/>
        <v>1.944666552623515</v>
      </c>
      <c r="AL11" s="212">
        <f t="shared" si="5"/>
        <v>13.892842639099049</v>
      </c>
      <c r="AM11" s="212">
        <f t="shared" si="5"/>
        <v>8.5411022498208897</v>
      </c>
    </row>
    <row r="12" spans="1:40" x14ac:dyDescent="0.2">
      <c r="A12" s="200">
        <v>2027</v>
      </c>
      <c r="B12" s="201">
        <f>Constant!W41</f>
        <v>7.563335246707247</v>
      </c>
      <c r="C12" s="201">
        <f>C$3*'Class 6 Box Truck'!$E78</f>
        <v>8.5261972077226353</v>
      </c>
      <c r="D12" s="201">
        <f>D$3*'Class 6 Box Truck'!$O78</f>
        <v>13.664322625551714</v>
      </c>
      <c r="E12" s="201">
        <f>E$3*'Class 6 Box Truck'!$J78</f>
        <v>34.466425955221183</v>
      </c>
      <c r="F12" s="201">
        <f>F$3*'Class 6 Box Truck'!$T78</f>
        <v>21.92100597256956</v>
      </c>
      <c r="G12" s="201"/>
      <c r="H12" s="201"/>
      <c r="I12" s="201">
        <f>Constant!W52</f>
        <v>8.9766567924808758</v>
      </c>
      <c r="J12" s="203">
        <v>11.675432564462836</v>
      </c>
      <c r="K12" s="202">
        <f t="shared" si="2"/>
        <v>12.656297124332939</v>
      </c>
      <c r="L12" s="203">
        <f t="shared" si="3"/>
        <v>20.283336514323977</v>
      </c>
      <c r="M12" s="203">
        <f t="shared" si="3"/>
        <v>51.162003068377835</v>
      </c>
      <c r="N12" s="203">
        <f t="shared" si="3"/>
        <v>32.539566948067545</v>
      </c>
      <c r="Q12" s="204">
        <f>'Class 6 Box Truck'!J73</f>
        <v>192.62973457469693</v>
      </c>
      <c r="R12" s="205"/>
      <c r="S12" s="200"/>
      <c r="U12" s="200">
        <v>2027</v>
      </c>
      <c r="V12" s="206">
        <f>'Class 6 Box Truck'!E$83</f>
        <v>73600</v>
      </c>
      <c r="W12" s="206">
        <f>'Class 6 Box Truck'!$O$83</f>
        <v>79686</v>
      </c>
      <c r="X12" s="206">
        <f>'Class 6 Box Truck'!$J$83</f>
        <v>156435</v>
      </c>
      <c r="Y12" s="206">
        <f>'Class 6 Box Truck'!$T$83</f>
        <v>116648</v>
      </c>
      <c r="Z12" s="201"/>
      <c r="AA12" s="201"/>
      <c r="AB12" s="202"/>
      <c r="AC12" s="218">
        <f t="shared" ref="AC12:AC35" si="8">INDEX($V$6:$V$35,MATCH($J12,$K$6:$K$35,1))</f>
        <v>73042.499999999985</v>
      </c>
      <c r="AD12" s="206">
        <f t="shared" ref="AD12" si="9">V12-$AC12</f>
        <v>557.50000000001455</v>
      </c>
      <c r="AE12" s="206">
        <f>W12-$AC12</f>
        <v>6643.5000000000146</v>
      </c>
      <c r="AF12" s="206">
        <f>X12-$AC12</f>
        <v>83392.500000000015</v>
      </c>
      <c r="AG12" s="206">
        <f>Y12-$AC12</f>
        <v>43605.500000000015</v>
      </c>
      <c r="AH12" s="200"/>
      <c r="AJ12" s="212">
        <f t="shared" si="5"/>
        <v>0.83987657850405772</v>
      </c>
      <c r="AK12" s="212">
        <f t="shared" si="5"/>
        <v>1.8277294209391632</v>
      </c>
      <c r="AL12" s="212">
        <f t="shared" si="5"/>
        <v>12.615314932943839</v>
      </c>
      <c r="AM12" s="212">
        <f t="shared" si="5"/>
        <v>7.9400940740774324</v>
      </c>
    </row>
    <row r="13" spans="1:40" x14ac:dyDescent="0.2">
      <c r="A13" s="22">
        <v>2028</v>
      </c>
      <c r="B13" s="203">
        <f t="shared" ref="B13:B35" si="10">B12</f>
        <v>7.563335246707247</v>
      </c>
      <c r="C13" s="203">
        <f t="shared" ref="C13:F19" si="11">C$12+(C$20-C$12)/(1+EXP(-($A13-$A$12-($A$20-$A$12)*$C$43)/$C$40))</f>
        <v>8.7468511750045579</v>
      </c>
      <c r="D13" s="203">
        <f t="shared" si="11"/>
        <v>14.296209214149378</v>
      </c>
      <c r="E13" s="203">
        <f t="shared" si="11"/>
        <v>35.803448738708909</v>
      </c>
      <c r="F13" s="203">
        <f t="shared" si="11"/>
        <v>22.737904993063822</v>
      </c>
      <c r="G13" s="203"/>
      <c r="H13" s="203"/>
      <c r="I13" s="202">
        <f>I12</f>
        <v>8.9766567924808758</v>
      </c>
      <c r="J13" s="203">
        <v>11.84954821073023</v>
      </c>
      <c r="K13" s="203">
        <f t="shared" si="2"/>
        <v>12.983836131881741</v>
      </c>
      <c r="L13" s="203">
        <f t="shared" si="3"/>
        <v>21.221309706749029</v>
      </c>
      <c r="M13" s="203">
        <f t="shared" si="3"/>
        <v>53.146681254626728</v>
      </c>
      <c r="N13" s="203">
        <f t="shared" si="3"/>
        <v>33.752172811158239</v>
      </c>
      <c r="Q13" s="208">
        <f>Q12+(Q$20-Q$12)/($A$20-$A$12)</f>
        <v>194.12457062894123</v>
      </c>
      <c r="R13" s="209"/>
      <c r="U13" s="22">
        <v>2028</v>
      </c>
      <c r="V13" s="186">
        <f>V12+(V$20-V$12)/($A$20-$A$12)</f>
        <v>73626.875</v>
      </c>
      <c r="W13" s="186">
        <f>W12+(W$20-W$12)/($A$20-$A$12)</f>
        <v>79388.375</v>
      </c>
      <c r="X13" s="186">
        <f>X12+(X$20-X$12)/($A$20-$A$12)</f>
        <v>151761.125</v>
      </c>
      <c r="Y13" s="186">
        <f>Y12+(Y$20-Y$12)/($A$20-$A$12)</f>
        <v>115796.75</v>
      </c>
      <c r="Z13" s="203"/>
      <c r="AA13" s="203"/>
      <c r="AB13" s="202"/>
      <c r="AC13" s="186">
        <f t="shared" ref="AC13:AG19" si="12">AC$12+(AC$20-AC$12)*(J13-J$12)/(J$20-J$12)</f>
        <v>73130.291515655073</v>
      </c>
      <c r="AD13" s="186">
        <f t="shared" si="12"/>
        <v>436.13728488234477</v>
      </c>
      <c r="AE13" s="186">
        <f t="shared" si="12"/>
        <v>5602.2610558445103</v>
      </c>
      <c r="AF13" s="186">
        <f t="shared" si="12"/>
        <v>69945.688336809602</v>
      </c>
      <c r="AG13" s="186">
        <f t="shared" si="12"/>
        <v>40994.872836118542</v>
      </c>
      <c r="AJ13" s="212">
        <f t="shared" si="5"/>
        <v>0.5915680717842734</v>
      </c>
      <c r="AK13" s="212">
        <f t="shared" si="5"/>
        <v>1.5031976583434787</v>
      </c>
      <c r="AL13" s="212">
        <f t="shared" si="5"/>
        <v>10.666427555110348</v>
      </c>
      <c r="AM13" s="212">
        <f t="shared" si="5"/>
        <v>7.4857774612985803</v>
      </c>
    </row>
    <row r="14" spans="1:40" x14ac:dyDescent="0.2">
      <c r="A14" s="22">
        <v>2029</v>
      </c>
      <c r="B14" s="203">
        <f t="shared" si="10"/>
        <v>7.563335246707247</v>
      </c>
      <c r="C14" s="203">
        <f t="shared" si="11"/>
        <v>8.8990070239761252</v>
      </c>
      <c r="D14" s="203">
        <f t="shared" si="11"/>
        <v>14.731937796445761</v>
      </c>
      <c r="E14" s="203">
        <f t="shared" si="11"/>
        <v>36.725416465923978</v>
      </c>
      <c r="F14" s="203">
        <f t="shared" si="11"/>
        <v>23.301212172710116</v>
      </c>
      <c r="G14" s="203"/>
      <c r="H14" s="203"/>
      <c r="I14" s="202">
        <f t="shared" ref="I14:I35" si="13">I13</f>
        <v>8.9766567924808758</v>
      </c>
      <c r="J14" s="203">
        <v>12.151673330884138</v>
      </c>
      <c r="K14" s="203">
        <f t="shared" si="2"/>
        <v>13.209696452359086</v>
      </c>
      <c r="L14" s="203">
        <f t="shared" si="3"/>
        <v>21.868105724804114</v>
      </c>
      <c r="M14" s="203">
        <f t="shared" si="3"/>
        <v>54.515251229071005</v>
      </c>
      <c r="N14" s="203">
        <f t="shared" si="3"/>
        <v>34.588346648589066</v>
      </c>
      <c r="Q14" s="208">
        <f t="shared" ref="Q14:Q19" si="14">Q13+(Q$20-Q$12)/($A$20-$A$12)</f>
        <v>195.6194066831855</v>
      </c>
      <c r="R14" s="209"/>
      <c r="U14" s="22">
        <v>2029</v>
      </c>
      <c r="V14" s="186">
        <f t="shared" ref="V14:Y19" si="15">V13+(V$20-V$12)/($A$20-$A$12)</f>
        <v>73653.75</v>
      </c>
      <c r="W14" s="186">
        <f t="shared" si="15"/>
        <v>79090.75</v>
      </c>
      <c r="X14" s="186">
        <f t="shared" si="15"/>
        <v>147087.25</v>
      </c>
      <c r="Y14" s="186">
        <f t="shared" si="15"/>
        <v>114945.5</v>
      </c>
      <c r="Z14" s="203"/>
      <c r="AA14" s="203"/>
      <c r="AB14" s="202"/>
      <c r="AC14" s="186">
        <f t="shared" si="12"/>
        <v>73282.627177523478</v>
      </c>
      <c r="AD14" s="186">
        <f t="shared" si="12"/>
        <v>352.44947641149122</v>
      </c>
      <c r="AE14" s="186">
        <f t="shared" si="12"/>
        <v>4884.256310759567</v>
      </c>
      <c r="AF14" s="186">
        <f t="shared" si="12"/>
        <v>60673.201330222597</v>
      </c>
      <c r="AG14" s="186">
        <f t="shared" si="12"/>
        <v>39194.668664121513</v>
      </c>
      <c r="AJ14" s="212">
        <f t="shared" si="5"/>
        <v>0.53472517973320244</v>
      </c>
      <c r="AK14" s="212">
        <f t="shared" si="5"/>
        <v>1.3357920794397415</v>
      </c>
      <c r="AL14" s="212">
        <f t="shared" si="5"/>
        <v>9.4876440354717424</v>
      </c>
      <c r="AM14" s="212">
        <f t="shared" si="5"/>
        <v>7.3423388228135043</v>
      </c>
    </row>
    <row r="15" spans="1:40" x14ac:dyDescent="0.2">
      <c r="A15" s="22">
        <v>2030</v>
      </c>
      <c r="B15" s="203">
        <f t="shared" si="10"/>
        <v>7.563335246707247</v>
      </c>
      <c r="C15" s="203">
        <f t="shared" si="11"/>
        <v>9.0257265082578453</v>
      </c>
      <c r="D15" s="203">
        <f t="shared" si="11"/>
        <v>15.094824281642403</v>
      </c>
      <c r="E15" s="203">
        <f t="shared" si="11"/>
        <v>37.493255991691498</v>
      </c>
      <c r="F15" s="203">
        <f t="shared" si="11"/>
        <v>23.770349545866949</v>
      </c>
      <c r="G15" s="203"/>
      <c r="H15" s="203"/>
      <c r="I15" s="202">
        <f t="shared" si="13"/>
        <v>8.9766567924808758</v>
      </c>
      <c r="J15" s="203">
        <v>12.424676418909172</v>
      </c>
      <c r="K15" s="203">
        <f t="shared" si="2"/>
        <v>13.397799003289887</v>
      </c>
      <c r="L15" s="203">
        <f t="shared" si="3"/>
        <v>22.406774848583424</v>
      </c>
      <c r="M15" s="203">
        <f t="shared" si="3"/>
        <v>55.655033120711813</v>
      </c>
      <c r="N15" s="203">
        <f t="shared" si="3"/>
        <v>35.284734714938743</v>
      </c>
      <c r="Q15" s="208">
        <f t="shared" si="14"/>
        <v>197.11424273742978</v>
      </c>
      <c r="R15" s="209"/>
      <c r="U15" s="22">
        <v>2030</v>
      </c>
      <c r="V15" s="186">
        <f t="shared" si="15"/>
        <v>73680.625</v>
      </c>
      <c r="W15" s="186">
        <f t="shared" si="15"/>
        <v>78793.125</v>
      </c>
      <c r="X15" s="186">
        <f t="shared" si="15"/>
        <v>142413.375</v>
      </c>
      <c r="Y15" s="186">
        <f t="shared" si="15"/>
        <v>114094.25</v>
      </c>
      <c r="Z15" s="203"/>
      <c r="AA15" s="203"/>
      <c r="AB15" s="202"/>
      <c r="AC15" s="186">
        <f t="shared" si="12"/>
        <v>73420.279108237562</v>
      </c>
      <c r="AD15" s="186">
        <f t="shared" si="12"/>
        <v>282.75201816868855</v>
      </c>
      <c r="AE15" s="186">
        <f t="shared" si="12"/>
        <v>4286.2826434706076</v>
      </c>
      <c r="AF15" s="186">
        <f t="shared" si="12"/>
        <v>52950.824705034647</v>
      </c>
      <c r="AG15" s="186">
        <f t="shared" si="12"/>
        <v>37695.410201044644</v>
      </c>
      <c r="AJ15" s="212">
        <f t="shared" si="5"/>
        <v>0.48367841508175813</v>
      </c>
      <c r="AK15" s="212">
        <f t="shared" si="5"/>
        <v>1.1954279202583815</v>
      </c>
      <c r="AL15" s="212">
        <f t="shared" si="5"/>
        <v>8.4698055944778758</v>
      </c>
      <c r="AM15" s="212">
        <f t="shared" si="5"/>
        <v>7.2290808798193655</v>
      </c>
    </row>
    <row r="16" spans="1:40" x14ac:dyDescent="0.2">
      <c r="A16" s="22">
        <v>2031</v>
      </c>
      <c r="B16" s="203">
        <f t="shared" si="10"/>
        <v>7.563335246707247</v>
      </c>
      <c r="C16" s="203">
        <f t="shared" si="11"/>
        <v>9.0971163051566499</v>
      </c>
      <c r="D16" s="203">
        <f t="shared" si="11"/>
        <v>15.299263185591181</v>
      </c>
      <c r="E16" s="203">
        <f t="shared" si="11"/>
        <v>37.925832782120608</v>
      </c>
      <c r="F16" s="203">
        <f t="shared" si="11"/>
        <v>24.034646879281336</v>
      </c>
      <c r="G16" s="203"/>
      <c r="H16" s="203"/>
      <c r="I16" s="202">
        <f t="shared" si="13"/>
        <v>8.9766567924808758</v>
      </c>
      <c r="J16" s="203">
        <v>12.675246951592575</v>
      </c>
      <c r="K16" s="203">
        <f t="shared" si="2"/>
        <v>13.503770101445895</v>
      </c>
      <c r="L16" s="203">
        <f t="shared" si="3"/>
        <v>22.710244197123135</v>
      </c>
      <c r="M16" s="203">
        <f t="shared" si="3"/>
        <v>56.297150615226514</v>
      </c>
      <c r="N16" s="203">
        <f t="shared" si="3"/>
        <v>35.677057986306615</v>
      </c>
      <c r="Q16" s="208">
        <f t="shared" si="14"/>
        <v>198.60907879167405</v>
      </c>
      <c r="R16" s="209"/>
      <c r="U16" s="22">
        <v>2031</v>
      </c>
      <c r="V16" s="186">
        <f t="shared" si="15"/>
        <v>73707.5</v>
      </c>
      <c r="W16" s="186">
        <f t="shared" si="15"/>
        <v>78495.5</v>
      </c>
      <c r="X16" s="186">
        <f t="shared" si="15"/>
        <v>137739.5</v>
      </c>
      <c r="Y16" s="186">
        <f t="shared" si="15"/>
        <v>113243</v>
      </c>
      <c r="Z16" s="203"/>
      <c r="AA16" s="203"/>
      <c r="AB16" s="202"/>
      <c r="AC16" s="186">
        <f t="shared" si="12"/>
        <v>73546.620234462345</v>
      </c>
      <c r="AD16" s="186">
        <f t="shared" si="12"/>
        <v>243.48664854916927</v>
      </c>
      <c r="AE16" s="186">
        <f t="shared" si="12"/>
        <v>3949.40296864739</v>
      </c>
      <c r="AF16" s="186">
        <f t="shared" si="12"/>
        <v>48600.279072899575</v>
      </c>
      <c r="AG16" s="186">
        <f t="shared" si="12"/>
        <v>36850.77484141897</v>
      </c>
      <c r="AJ16" s="212">
        <f t="shared" si="5"/>
        <v>0.50301619686503496</v>
      </c>
      <c r="AK16" s="212">
        <f t="shared" si="5"/>
        <v>1.1329022105357778</v>
      </c>
      <c r="AL16" s="212">
        <f t="shared" si="5"/>
        <v>7.9501805659102116</v>
      </c>
      <c r="AM16" s="212">
        <f t="shared" si="5"/>
        <v>7.2448609807089239</v>
      </c>
    </row>
    <row r="17" spans="1:39" x14ac:dyDescent="0.2">
      <c r="A17" s="22">
        <v>2032</v>
      </c>
      <c r="B17" s="203">
        <f t="shared" si="10"/>
        <v>7.563335246707247</v>
      </c>
      <c r="C17" s="203">
        <f t="shared" si="11"/>
        <v>9.1287981531399431</v>
      </c>
      <c r="D17" s="203">
        <f t="shared" si="11"/>
        <v>15.389990468174116</v>
      </c>
      <c r="E17" s="203">
        <f t="shared" si="11"/>
        <v>38.117804642397815</v>
      </c>
      <c r="F17" s="203">
        <f t="shared" si="11"/>
        <v>24.151938541442721</v>
      </c>
      <c r="G17" s="203"/>
      <c r="H17" s="203"/>
      <c r="I17" s="202">
        <f t="shared" si="13"/>
        <v>8.9766567924808758</v>
      </c>
      <c r="J17" s="203">
        <v>12.701713781288014</v>
      </c>
      <c r="K17" s="203">
        <f t="shared" si="2"/>
        <v>13.550798673710364</v>
      </c>
      <c r="L17" s="203">
        <f t="shared" si="3"/>
        <v>22.844919881684227</v>
      </c>
      <c r="M17" s="203">
        <f t="shared" si="3"/>
        <v>56.582113869533906</v>
      </c>
      <c r="N17" s="203">
        <f t="shared" si="3"/>
        <v>35.851165867036464</v>
      </c>
      <c r="Q17" s="208">
        <f t="shared" si="14"/>
        <v>200.10391484591833</v>
      </c>
      <c r="R17" s="209"/>
      <c r="U17" s="22">
        <v>2032</v>
      </c>
      <c r="V17" s="186">
        <f t="shared" si="15"/>
        <v>73734.375</v>
      </c>
      <c r="W17" s="186">
        <f t="shared" si="15"/>
        <v>78197.875</v>
      </c>
      <c r="X17" s="186">
        <f t="shared" si="15"/>
        <v>133065.625</v>
      </c>
      <c r="Y17" s="186">
        <f t="shared" si="15"/>
        <v>112391.75</v>
      </c>
      <c r="Z17" s="203"/>
      <c r="AA17" s="203"/>
      <c r="AB17" s="202"/>
      <c r="AC17" s="186">
        <f t="shared" si="12"/>
        <v>73559.965175846766</v>
      </c>
      <c r="AD17" s="186">
        <f t="shared" si="12"/>
        <v>226.06119665921943</v>
      </c>
      <c r="AE17" s="186">
        <f t="shared" si="12"/>
        <v>3799.9002230163992</v>
      </c>
      <c r="AF17" s="186">
        <f t="shared" si="12"/>
        <v>46669.564442109157</v>
      </c>
      <c r="AG17" s="186">
        <f t="shared" si="12"/>
        <v>36475.936836165827</v>
      </c>
      <c r="AJ17" s="212">
        <f t="shared" si="5"/>
        <v>0.4582496307649655</v>
      </c>
      <c r="AK17" s="212">
        <f t="shared" si="5"/>
        <v>1.0870484587135241</v>
      </c>
      <c r="AL17" s="212">
        <f t="shared" si="5"/>
        <v>7.6437180589576634</v>
      </c>
      <c r="AM17" s="212">
        <f t="shared" si="5"/>
        <v>7.1751559396704874</v>
      </c>
    </row>
    <row r="18" spans="1:39" x14ac:dyDescent="0.2">
      <c r="A18" s="22">
        <v>2033</v>
      </c>
      <c r="B18" s="203">
        <f t="shared" si="10"/>
        <v>7.563335246707247</v>
      </c>
      <c r="C18" s="203">
        <f t="shared" si="11"/>
        <v>9.1413563986877282</v>
      </c>
      <c r="D18" s="203">
        <f t="shared" si="11"/>
        <v>15.425953505846683</v>
      </c>
      <c r="E18" s="203">
        <f t="shared" si="11"/>
        <v>38.193899627794423</v>
      </c>
      <c r="F18" s="203">
        <f t="shared" si="11"/>
        <v>24.198431331096504</v>
      </c>
      <c r="G18" s="203"/>
      <c r="H18" s="203"/>
      <c r="I18" s="202">
        <f t="shared" si="13"/>
        <v>8.9766567924808758</v>
      </c>
      <c r="J18" s="203">
        <v>12.728180610983452</v>
      </c>
      <c r="K18" s="203">
        <f t="shared" si="2"/>
        <v>13.569440148114584</v>
      </c>
      <c r="L18" s="203">
        <f t="shared" si="3"/>
        <v>22.898303456939246</v>
      </c>
      <c r="M18" s="203">
        <f t="shared" si="3"/>
        <v>56.695069355008592</v>
      </c>
      <c r="N18" s="203">
        <f t="shared" si="3"/>
        <v>35.920179818468931</v>
      </c>
      <c r="Q18" s="208">
        <f t="shared" si="14"/>
        <v>201.5987509001626</v>
      </c>
      <c r="R18" s="209"/>
      <c r="U18" s="22">
        <v>2033</v>
      </c>
      <c r="V18" s="186">
        <f t="shared" si="15"/>
        <v>73761.25</v>
      </c>
      <c r="W18" s="186">
        <f t="shared" si="15"/>
        <v>77900.25</v>
      </c>
      <c r="X18" s="186">
        <f t="shared" si="15"/>
        <v>128391.75</v>
      </c>
      <c r="Y18" s="186">
        <f t="shared" si="15"/>
        <v>111540.5</v>
      </c>
      <c r="Z18" s="203"/>
      <c r="AA18" s="203"/>
      <c r="AB18" s="202"/>
      <c r="AC18" s="186">
        <f t="shared" si="12"/>
        <v>73573.310117231173</v>
      </c>
      <c r="AD18" s="186">
        <f t="shared" si="12"/>
        <v>219.15398898211379</v>
      </c>
      <c r="AE18" s="186">
        <f t="shared" si="12"/>
        <v>3740.6394062012923</v>
      </c>
      <c r="AF18" s="186">
        <f t="shared" si="12"/>
        <v>45904.255915000736</v>
      </c>
      <c r="AG18" s="186">
        <f t="shared" si="12"/>
        <v>36327.356244746639</v>
      </c>
      <c r="AJ18" s="212">
        <f t="shared" si="5"/>
        <v>0.44993278340661347</v>
      </c>
      <c r="AK18" s="212">
        <f t="shared" si="5"/>
        <v>1.0719864147576377</v>
      </c>
      <c r="AL18" s="212">
        <f t="shared" si="5"/>
        <v>7.5342293730967818</v>
      </c>
      <c r="AM18" s="212">
        <f t="shared" si="5"/>
        <v>7.1614413032982673</v>
      </c>
    </row>
    <row r="19" spans="1:39" x14ac:dyDescent="0.2">
      <c r="A19" s="22">
        <v>2034</v>
      </c>
      <c r="B19" s="203">
        <f t="shared" si="10"/>
        <v>7.563335246707247</v>
      </c>
      <c r="C19" s="203">
        <f t="shared" si="11"/>
        <v>9.1461090352235122</v>
      </c>
      <c r="D19" s="203">
        <f t="shared" si="11"/>
        <v>15.439563627270898</v>
      </c>
      <c r="E19" s="203">
        <f t="shared" si="11"/>
        <v>38.222697584197633</v>
      </c>
      <c r="F19" s="203">
        <f t="shared" si="11"/>
        <v>24.216026410753003</v>
      </c>
      <c r="G19" s="203"/>
      <c r="H19" s="203"/>
      <c r="I19" s="202">
        <f t="shared" si="13"/>
        <v>8.9766567924808758</v>
      </c>
      <c r="J19" s="203">
        <v>12.754647440678891</v>
      </c>
      <c r="K19" s="203">
        <f t="shared" si="2"/>
        <v>13.576494967356433</v>
      </c>
      <c r="L19" s="203">
        <f t="shared" si="3"/>
        <v>22.918506337126804</v>
      </c>
      <c r="M19" s="203">
        <f t="shared" si="3"/>
        <v>56.737817075232847</v>
      </c>
      <c r="N19" s="203">
        <f t="shared" si="3"/>
        <v>35.946297975325223</v>
      </c>
      <c r="Q19" s="208">
        <f t="shared" si="14"/>
        <v>203.09358695440687</v>
      </c>
      <c r="R19" s="209"/>
      <c r="U19" s="22">
        <v>2034</v>
      </c>
      <c r="V19" s="186">
        <f t="shared" si="15"/>
        <v>73788.125</v>
      </c>
      <c r="W19" s="186">
        <f t="shared" si="15"/>
        <v>77602.625</v>
      </c>
      <c r="X19" s="186">
        <f t="shared" si="15"/>
        <v>123717.875</v>
      </c>
      <c r="Y19" s="186">
        <f t="shared" si="15"/>
        <v>110689.25</v>
      </c>
      <c r="Z19" s="203"/>
      <c r="AA19" s="203"/>
      <c r="AB19" s="202"/>
      <c r="AC19" s="186">
        <f t="shared" si="12"/>
        <v>73586.655058615594</v>
      </c>
      <c r="AD19" s="186">
        <f t="shared" si="12"/>
        <v>216.5399735576222</v>
      </c>
      <c r="AE19" s="186">
        <f t="shared" si="12"/>
        <v>3718.2122986834261</v>
      </c>
      <c r="AF19" s="186">
        <f t="shared" si="12"/>
        <v>45614.626822048012</v>
      </c>
      <c r="AG19" s="186">
        <f t="shared" si="12"/>
        <v>36271.126292513218</v>
      </c>
      <c r="AJ19" s="212">
        <f t="shared" si="5"/>
        <v>0.45625007449712629</v>
      </c>
      <c r="AK19" s="212">
        <f t="shared" si="5"/>
        <v>1.0693757326265152</v>
      </c>
      <c r="AL19" s="212">
        <f t="shared" si="5"/>
        <v>7.5051380316037273</v>
      </c>
      <c r="AM19" s="212">
        <f t="shared" si="5"/>
        <v>7.170542461367333</v>
      </c>
    </row>
    <row r="20" spans="1:39" x14ac:dyDescent="0.2">
      <c r="A20" s="200">
        <v>2035</v>
      </c>
      <c r="B20" s="201">
        <f t="shared" si="10"/>
        <v>7.563335246707247</v>
      </c>
      <c r="C20" s="201">
        <f>C$3*'Class 6 Box Truck'!$F78</f>
        <v>9.1489089171697024</v>
      </c>
      <c r="D20" s="201">
        <f>D$3*'Class 6 Box Truck'!$P78</f>
        <v>15.447581646947807</v>
      </c>
      <c r="E20" s="201">
        <f>E$3*'Class 6 Box Truck'!$K78</f>
        <v>38.239663089052343</v>
      </c>
      <c r="F20" s="201">
        <f>F$3*'Class 6 Box Truck'!$U78</f>
        <v>24.226392056327008</v>
      </c>
      <c r="G20" s="201"/>
      <c r="H20" s="201"/>
      <c r="I20" s="202">
        <f t="shared" si="13"/>
        <v>8.9766567924808758</v>
      </c>
      <c r="J20" s="203">
        <v>12.781114270374328</v>
      </c>
      <c r="K20" s="202">
        <f t="shared" si="2"/>
        <v>13.580651115397666</v>
      </c>
      <c r="L20" s="203">
        <f t="shared" si="3"/>
        <v>22.930408294929023</v>
      </c>
      <c r="M20" s="203">
        <f t="shared" si="3"/>
        <v>56.763000690515767</v>
      </c>
      <c r="N20" s="203">
        <f t="shared" si="3"/>
        <v>35.961684751759535</v>
      </c>
      <c r="Q20" s="204">
        <f>'Class 6 Box Truck'!K73</f>
        <v>204.58842300865123</v>
      </c>
      <c r="R20" s="205"/>
      <c r="S20" s="200"/>
      <c r="U20" s="200">
        <v>2035</v>
      </c>
      <c r="V20" s="206">
        <f>'Class 6 Box Truck'!F$83</f>
        <v>73815</v>
      </c>
      <c r="W20" s="206">
        <f>'Class 6 Box Truck'!$P$83</f>
        <v>77305</v>
      </c>
      <c r="X20" s="206">
        <f>'Class 6 Box Truck'!$K$83</f>
        <v>119044</v>
      </c>
      <c r="Y20" s="206">
        <f>'Class 6 Box Truck'!$U$83</f>
        <v>109838</v>
      </c>
      <c r="Z20" s="201"/>
      <c r="AA20" s="201"/>
      <c r="AB20" s="202"/>
      <c r="AC20" s="219">
        <f t="shared" si="8"/>
        <v>73600</v>
      </c>
      <c r="AD20" s="206">
        <f t="shared" ref="AD20" si="16">V20-$AC20</f>
        <v>215</v>
      </c>
      <c r="AE20" s="206">
        <f>W20-$AC20</f>
        <v>3705</v>
      </c>
      <c r="AF20" s="206">
        <f>X20-$AC20</f>
        <v>45444</v>
      </c>
      <c r="AG20" s="206">
        <f>Y20-$AC20</f>
        <v>36238</v>
      </c>
      <c r="AH20" s="200"/>
      <c r="AJ20" s="212">
        <f t="shared" si="5"/>
        <v>0.46675533208087744</v>
      </c>
      <c r="AK20" s="212">
        <f t="shared" si="5"/>
        <v>1.069874616250682</v>
      </c>
      <c r="AL20" s="212">
        <f t="shared" si="5"/>
        <v>7.4961239985944115</v>
      </c>
      <c r="AM20" s="212">
        <f t="shared" si="5"/>
        <v>7.1853652295219614</v>
      </c>
    </row>
    <row r="21" spans="1:39" x14ac:dyDescent="0.2">
      <c r="A21" s="22">
        <v>2036</v>
      </c>
      <c r="B21" s="203">
        <f t="shared" si="10"/>
        <v>7.563335246707247</v>
      </c>
      <c r="C21" s="203">
        <f>C$20+(C$35-C$20)/(1+EXP(-($A21-$A$20-($A$35-$A$20)*$C$44)/$C$41))</f>
        <v>9.1963608956324876</v>
      </c>
      <c r="D21" s="203">
        <f t="shared" ref="D21:F34" si="17">D$20+(D$35-D$20)/(1+EXP(-($A21-$A$20-($A$35-$A$20)*$C$44)/$C$41))</f>
        <v>15.594096950572782</v>
      </c>
      <c r="E21" s="203">
        <f t="shared" si="17"/>
        <v>38.579201640332222</v>
      </c>
      <c r="F21" s="203">
        <f t="shared" si="17"/>
        <v>24.492278131656814</v>
      </c>
      <c r="G21" s="203"/>
      <c r="H21" s="203"/>
      <c r="I21" s="202">
        <f t="shared" si="13"/>
        <v>8.9766567924808758</v>
      </c>
      <c r="J21" s="203">
        <v>12.781114270374328</v>
      </c>
      <c r="K21" s="203">
        <f t="shared" si="2"/>
        <v>13.651088887821988</v>
      </c>
      <c r="L21" s="203">
        <f t="shared" si="3"/>
        <v>23.147895783285492</v>
      </c>
      <c r="M21" s="203">
        <f t="shared" si="3"/>
        <v>57.26701211383488</v>
      </c>
      <c r="N21" s="203">
        <f t="shared" si="3"/>
        <v>36.356366353488006</v>
      </c>
      <c r="Q21" s="208">
        <f>Q20+(Q$35-Q$20)/($A$35-$A$20)</f>
        <v>207.02234688797193</v>
      </c>
      <c r="R21" s="209"/>
      <c r="U21" s="22">
        <v>2036</v>
      </c>
      <c r="V21" s="186">
        <f>V20+(V$35-V$20)/($A$35-$A$20)</f>
        <v>73828.666666666672</v>
      </c>
      <c r="W21" s="186">
        <f>W20+(W$35-W$20)/($A$35-$A$20)</f>
        <v>77093.333333333328</v>
      </c>
      <c r="X21" s="186">
        <f>X20+(X$35-X$20)/($A$35-$A$20)</f>
        <v>116418.93333333333</v>
      </c>
      <c r="Y21" s="186">
        <f>Y20+(Y$35-Y$20)/($A$35-$A$20)</f>
        <v>108298.2</v>
      </c>
      <c r="Z21" s="203"/>
      <c r="AA21" s="203"/>
      <c r="AB21" s="202"/>
      <c r="AC21" s="186">
        <f>AC20</f>
        <v>73600</v>
      </c>
      <c r="AD21" s="186">
        <f t="shared" ref="AD21:AG34" si="18">AD$20+(AD$35-AD$20)*(K21-K$20)/(K$35-K$20)</f>
        <v>220.32125822554843</v>
      </c>
      <c r="AE21" s="186">
        <f t="shared" si="18"/>
        <v>3622.5853908969948</v>
      </c>
      <c r="AF21" s="186">
        <f t="shared" si="18"/>
        <v>44421.903102979544</v>
      </c>
      <c r="AG21" s="186">
        <f t="shared" si="18"/>
        <v>35638.462920802493</v>
      </c>
      <c r="AJ21" s="212">
        <f t="shared" si="5"/>
        <v>0.44186116534755027</v>
      </c>
      <c r="AK21" s="212">
        <f t="shared" si="5"/>
        <v>1.0338437864161329</v>
      </c>
      <c r="AL21" s="212">
        <f t="shared" si="5"/>
        <v>7.3088330626104874</v>
      </c>
      <c r="AM21" s="212">
        <f t="shared" si="5"/>
        <v>7.0244416334656572</v>
      </c>
    </row>
    <row r="22" spans="1:39" x14ac:dyDescent="0.2">
      <c r="A22" s="22">
        <v>2037</v>
      </c>
      <c r="B22" s="203">
        <f t="shared" si="10"/>
        <v>7.563335246707247</v>
      </c>
      <c r="C22" s="203">
        <f t="shared" ref="C22:F34" si="19">C$20+(C$35-C$20)/(1+EXP(-($A22-$A$20-($A$35-$A$20)*$C$44)/$C$41))</f>
        <v>9.2258484123340629</v>
      </c>
      <c r="D22" s="203">
        <f t="shared" si="19"/>
        <v>15.685144207244415</v>
      </c>
      <c r="E22" s="203">
        <f t="shared" si="17"/>
        <v>38.790197030325224</v>
      </c>
      <c r="F22" s="203">
        <f t="shared" si="19"/>
        <v>24.657504542461865</v>
      </c>
      <c r="G22" s="203"/>
      <c r="H22" s="203"/>
      <c r="I22" s="202">
        <f t="shared" si="13"/>
        <v>8.9766567924808758</v>
      </c>
      <c r="J22" s="203">
        <v>12.781114270374328</v>
      </c>
      <c r="K22" s="203">
        <f t="shared" si="2"/>
        <v>13.694860192161023</v>
      </c>
      <c r="L22" s="203">
        <f t="shared" si="3"/>
        <v>23.283046437758724</v>
      </c>
      <c r="M22" s="203">
        <f t="shared" si="3"/>
        <v>57.580213917940128</v>
      </c>
      <c r="N22" s="203">
        <f t="shared" si="3"/>
        <v>36.601628631264283</v>
      </c>
      <c r="Q22" s="208">
        <f t="shared" ref="Q22:Q34" si="20">Q21+(Q$35-Q$20)/($A$35-$A$20)</f>
        <v>209.45627076729264</v>
      </c>
      <c r="R22" s="209"/>
      <c r="U22" s="22">
        <v>2037</v>
      </c>
      <c r="V22" s="186">
        <f t="shared" ref="V22:Y34" si="21">V21+(V$35-V$20)/($A$35-$A$20)</f>
        <v>73842.333333333343</v>
      </c>
      <c r="W22" s="186">
        <f t="shared" si="21"/>
        <v>76881.666666666657</v>
      </c>
      <c r="X22" s="186">
        <f t="shared" si="21"/>
        <v>113793.86666666667</v>
      </c>
      <c r="Y22" s="186">
        <f t="shared" si="21"/>
        <v>106758.39999999999</v>
      </c>
      <c r="Z22" s="203"/>
      <c r="AA22" s="203"/>
      <c r="AB22" s="202"/>
      <c r="AC22" s="186">
        <f t="shared" ref="AC22:AC34" si="22">AC21</f>
        <v>73600</v>
      </c>
      <c r="AD22" s="186">
        <f t="shared" si="18"/>
        <v>223.62798422270177</v>
      </c>
      <c r="AE22" s="186">
        <f t="shared" si="18"/>
        <v>3571.3714638679116</v>
      </c>
      <c r="AF22" s="186">
        <f t="shared" si="18"/>
        <v>43786.753625594596</v>
      </c>
      <c r="AG22" s="186">
        <f t="shared" si="18"/>
        <v>35265.899748332951</v>
      </c>
      <c r="AJ22" s="212">
        <f t="shared" si="5"/>
        <v>0.42837786118984644</v>
      </c>
      <c r="AK22" s="212">
        <f t="shared" si="5"/>
        <v>1.0119856108009326</v>
      </c>
      <c r="AL22" s="212">
        <f t="shared" si="5"/>
        <v>7.1930893242112042</v>
      </c>
      <c r="AM22" s="212">
        <f t="shared" si="5"/>
        <v>6.9258480883592997</v>
      </c>
    </row>
    <row r="23" spans="1:39" x14ac:dyDescent="0.2">
      <c r="A23" s="22">
        <v>2038</v>
      </c>
      <c r="B23" s="203">
        <f t="shared" si="10"/>
        <v>7.563335246707247</v>
      </c>
      <c r="C23" s="203">
        <f t="shared" si="19"/>
        <v>9.2723892895653197</v>
      </c>
      <c r="D23" s="203">
        <f t="shared" si="19"/>
        <v>15.828846345267138</v>
      </c>
      <c r="E23" s="203">
        <f t="shared" si="17"/>
        <v>39.123216275092631</v>
      </c>
      <c r="F23" s="203">
        <f t="shared" si="19"/>
        <v>24.918285474897178</v>
      </c>
      <c r="G23" s="203"/>
      <c r="H23" s="203"/>
      <c r="I23" s="202">
        <f t="shared" si="13"/>
        <v>8.9766567924808758</v>
      </c>
      <c r="J23" s="203">
        <v>12.781114270374328</v>
      </c>
      <c r="K23" s="203">
        <f t="shared" si="2"/>
        <v>13.763945524849829</v>
      </c>
      <c r="L23" s="203">
        <f t="shared" si="3"/>
        <v>23.496358059799341</v>
      </c>
      <c r="M23" s="203">
        <f t="shared" si="3"/>
        <v>58.074548075034187</v>
      </c>
      <c r="N23" s="203">
        <f t="shared" si="3"/>
        <v>36.988732152899047</v>
      </c>
      <c r="Q23" s="208">
        <f t="shared" si="20"/>
        <v>211.89019464661334</v>
      </c>
      <c r="R23" s="209"/>
      <c r="U23" s="22">
        <v>2038</v>
      </c>
      <c r="V23" s="186">
        <f t="shared" si="21"/>
        <v>73856.000000000015</v>
      </c>
      <c r="W23" s="186">
        <f t="shared" si="21"/>
        <v>76669.999999999985</v>
      </c>
      <c r="X23" s="186">
        <f t="shared" si="21"/>
        <v>111168.8</v>
      </c>
      <c r="Y23" s="186">
        <f t="shared" si="21"/>
        <v>105218.59999999999</v>
      </c>
      <c r="Z23" s="203"/>
      <c r="AA23" s="203"/>
      <c r="AB23" s="202"/>
      <c r="AC23" s="186">
        <f t="shared" si="22"/>
        <v>73600</v>
      </c>
      <c r="AD23" s="186">
        <f t="shared" si="18"/>
        <v>228.8470716836238</v>
      </c>
      <c r="AE23" s="186">
        <f t="shared" si="18"/>
        <v>3490.5392556316783</v>
      </c>
      <c r="AF23" s="186">
        <f t="shared" si="18"/>
        <v>42784.281489685964</v>
      </c>
      <c r="AG23" s="186">
        <f t="shared" si="18"/>
        <v>34677.87407474799</v>
      </c>
      <c r="AJ23" s="212">
        <f t="shared" si="5"/>
        <v>0.40961708590988544</v>
      </c>
      <c r="AK23" s="212">
        <f t="shared" si="5"/>
        <v>0.97827226187277705</v>
      </c>
      <c r="AL23" s="212">
        <f t="shared" si="5"/>
        <v>7.0113807621911279</v>
      </c>
      <c r="AM23" s="212">
        <f t="shared" si="5"/>
        <v>6.7723371864976176</v>
      </c>
    </row>
    <row r="24" spans="1:39" x14ac:dyDescent="0.2">
      <c r="A24" s="22">
        <v>2039</v>
      </c>
      <c r="B24" s="203">
        <f t="shared" si="10"/>
        <v>7.563335246707247</v>
      </c>
      <c r="C24" s="203">
        <f t="shared" si="19"/>
        <v>9.3439472536040604</v>
      </c>
      <c r="D24" s="203">
        <f t="shared" si="19"/>
        <v>16.04979259803811</v>
      </c>
      <c r="E24" s="203">
        <f t="shared" si="17"/>
        <v>39.635243133178371</v>
      </c>
      <c r="F24" s="203">
        <f t="shared" si="19"/>
        <v>25.319243808631864</v>
      </c>
      <c r="G24" s="203"/>
      <c r="H24" s="203"/>
      <c r="I24" s="202">
        <f t="shared" si="13"/>
        <v>8.9766567924808758</v>
      </c>
      <c r="J24" s="203">
        <v>12.781114270374328</v>
      </c>
      <c r="K24" s="203">
        <f t="shared" si="2"/>
        <v>13.870166250505379</v>
      </c>
      <c r="L24" s="203">
        <f t="shared" si="3"/>
        <v>23.824330936270524</v>
      </c>
      <c r="M24" s="203">
        <f t="shared" si="3"/>
        <v>58.834601343061124</v>
      </c>
      <c r="N24" s="203">
        <f t="shared" si="3"/>
        <v>37.583915173252748</v>
      </c>
      <c r="Q24" s="208">
        <f t="shared" si="20"/>
        <v>214.32411852593404</v>
      </c>
      <c r="R24" s="209"/>
      <c r="U24" s="22">
        <v>2039</v>
      </c>
      <c r="V24" s="186">
        <f t="shared" si="21"/>
        <v>73869.666666666686</v>
      </c>
      <c r="W24" s="186">
        <f t="shared" si="21"/>
        <v>76458.333333333314</v>
      </c>
      <c r="X24" s="186">
        <f t="shared" si="21"/>
        <v>108543.73333333334</v>
      </c>
      <c r="Y24" s="186">
        <f t="shared" si="21"/>
        <v>103678.79999999999</v>
      </c>
      <c r="Z24" s="203"/>
      <c r="AA24" s="203"/>
      <c r="AB24" s="202"/>
      <c r="AC24" s="186">
        <f t="shared" si="22"/>
        <v>73600</v>
      </c>
      <c r="AD24" s="186">
        <f t="shared" si="18"/>
        <v>236.87157175885829</v>
      </c>
      <c r="AE24" s="186">
        <f t="shared" si="18"/>
        <v>3366.2573642225589</v>
      </c>
      <c r="AF24" s="186">
        <f t="shared" si="18"/>
        <v>41242.951172796049</v>
      </c>
      <c r="AG24" s="186">
        <f t="shared" si="18"/>
        <v>33773.767351637296</v>
      </c>
      <c r="AJ24" s="212">
        <f t="shared" si="5"/>
        <v>0.38558019369121932</v>
      </c>
      <c r="AK24" s="212">
        <f t="shared" si="5"/>
        <v>0.92819912414493122</v>
      </c>
      <c r="AL24" s="212">
        <f t="shared" si="5"/>
        <v>6.7342424360305007</v>
      </c>
      <c r="AM24" s="212">
        <f t="shared" si="5"/>
        <v>6.5410808510773908</v>
      </c>
    </row>
    <row r="25" spans="1:39" x14ac:dyDescent="0.2">
      <c r="A25" s="22">
        <v>2040</v>
      </c>
      <c r="B25" s="203">
        <f t="shared" si="10"/>
        <v>7.563335246707247</v>
      </c>
      <c r="C25" s="203">
        <f t="shared" si="19"/>
        <v>9.449657240454469</v>
      </c>
      <c r="D25" s="203">
        <f t="shared" si="19"/>
        <v>16.376188489659924</v>
      </c>
      <c r="E25" s="203">
        <f t="shared" si="17"/>
        <v>40.391641853605861</v>
      </c>
      <c r="F25" s="203">
        <f t="shared" si="19"/>
        <v>25.911565023412496</v>
      </c>
      <c r="G25" s="203"/>
      <c r="H25" s="203"/>
      <c r="I25" s="202">
        <f t="shared" si="13"/>
        <v>8.9766567924808758</v>
      </c>
      <c r="J25" s="203">
        <v>12.781114270374328</v>
      </c>
      <c r="K25" s="203">
        <f t="shared" si="2"/>
        <v>14.027082278834666</v>
      </c>
      <c r="L25" s="203">
        <f t="shared" si="3"/>
        <v>24.30883338019542</v>
      </c>
      <c r="M25" s="203">
        <f t="shared" si="3"/>
        <v>59.957400489851274</v>
      </c>
      <c r="N25" s="203">
        <f t="shared" si="3"/>
        <v>38.46315747842948</v>
      </c>
      <c r="Q25" s="208">
        <f t="shared" si="20"/>
        <v>216.75804240525474</v>
      </c>
      <c r="R25" s="209"/>
      <c r="U25" s="22">
        <v>2040</v>
      </c>
      <c r="V25" s="186">
        <f t="shared" si="21"/>
        <v>73883.333333333358</v>
      </c>
      <c r="W25" s="186">
        <f t="shared" si="21"/>
        <v>76246.666666666642</v>
      </c>
      <c r="X25" s="186">
        <f t="shared" si="21"/>
        <v>105918.66666666667</v>
      </c>
      <c r="Y25" s="186">
        <f t="shared" si="21"/>
        <v>102138.99999999999</v>
      </c>
      <c r="Z25" s="203"/>
      <c r="AA25" s="203"/>
      <c r="AB25" s="202"/>
      <c r="AC25" s="186">
        <f t="shared" si="22"/>
        <v>73600</v>
      </c>
      <c r="AD25" s="186">
        <f t="shared" si="18"/>
        <v>248.72587489379515</v>
      </c>
      <c r="AE25" s="186">
        <f t="shared" si="18"/>
        <v>3182.6602303034142</v>
      </c>
      <c r="AF25" s="186">
        <f t="shared" si="18"/>
        <v>38965.999756984944</v>
      </c>
      <c r="AG25" s="186">
        <f t="shared" si="18"/>
        <v>32438.163256478085</v>
      </c>
      <c r="AJ25" s="212">
        <f t="shared" si="5"/>
        <v>0.35789047311595146</v>
      </c>
      <c r="AK25" s="212">
        <f t="shared" si="5"/>
        <v>0.85778752556891025</v>
      </c>
      <c r="AL25" s="212">
        <f t="shared" si="5"/>
        <v>6.3295609593545388</v>
      </c>
      <c r="AM25" s="212">
        <f t="shared" si="5"/>
        <v>6.2092669802836618</v>
      </c>
    </row>
    <row r="26" spans="1:39" x14ac:dyDescent="0.2">
      <c r="A26" s="22">
        <v>2041</v>
      </c>
      <c r="B26" s="203">
        <f t="shared" si="10"/>
        <v>7.563335246707247</v>
      </c>
      <c r="C26" s="203">
        <f t="shared" si="19"/>
        <v>9.5969425392402741</v>
      </c>
      <c r="D26" s="203">
        <f t="shared" si="19"/>
        <v>16.830954570446661</v>
      </c>
      <c r="E26" s="203">
        <f t="shared" si="17"/>
        <v>41.44552914333768</v>
      </c>
      <c r="F26" s="203">
        <f t="shared" si="19"/>
        <v>26.736843785575147</v>
      </c>
      <c r="G26" s="203"/>
      <c r="H26" s="203"/>
      <c r="I26" s="202">
        <f t="shared" si="13"/>
        <v>8.9766567924808758</v>
      </c>
      <c r="J26" s="203">
        <v>12.781114270374328</v>
      </c>
      <c r="K26" s="203">
        <f t="shared" si="2"/>
        <v>14.245712748909988</v>
      </c>
      <c r="L26" s="203">
        <f t="shared" si="3"/>
        <v>24.98388868331369</v>
      </c>
      <c r="M26" s="203">
        <f t="shared" si="3"/>
        <v>61.521792017450778</v>
      </c>
      <c r="N26" s="203">
        <f t="shared" si="3"/>
        <v>39.688202239870321</v>
      </c>
      <c r="Q26" s="208">
        <f t="shared" si="20"/>
        <v>219.19196628457544</v>
      </c>
      <c r="R26" s="209"/>
      <c r="U26" s="22">
        <v>2041</v>
      </c>
      <c r="V26" s="186">
        <f t="shared" si="21"/>
        <v>73897.000000000029</v>
      </c>
      <c r="W26" s="186">
        <f t="shared" si="21"/>
        <v>76034.999999999971</v>
      </c>
      <c r="X26" s="186">
        <f t="shared" si="21"/>
        <v>103293.6</v>
      </c>
      <c r="Y26" s="186">
        <f t="shared" si="21"/>
        <v>100599.19999999998</v>
      </c>
      <c r="Z26" s="203"/>
      <c r="AA26" s="203"/>
      <c r="AB26" s="202"/>
      <c r="AC26" s="186">
        <f t="shared" si="22"/>
        <v>73600</v>
      </c>
      <c r="AD26" s="186">
        <f t="shared" si="18"/>
        <v>265.242427692136</v>
      </c>
      <c r="AE26" s="186">
        <f t="shared" si="18"/>
        <v>2926.8550833047216</v>
      </c>
      <c r="AF26" s="186">
        <f t="shared" si="18"/>
        <v>35793.532522899732</v>
      </c>
      <c r="AG26" s="186">
        <f t="shared" si="18"/>
        <v>30577.271451681627</v>
      </c>
      <c r="AJ26" s="212">
        <f t="shared" si="5"/>
        <v>0.32974431461275971</v>
      </c>
      <c r="AK26" s="212">
        <f t="shared" si="5"/>
        <v>0.76589880341257977</v>
      </c>
      <c r="AL26" s="212">
        <f t="shared" si="5"/>
        <v>5.7744508986698753</v>
      </c>
      <c r="AM26" s="212">
        <f t="shared" si="5"/>
        <v>5.7645070532802736</v>
      </c>
    </row>
    <row r="27" spans="1:39" x14ac:dyDescent="0.2">
      <c r="A27" s="22">
        <v>2042</v>
      </c>
      <c r="B27" s="203">
        <f t="shared" si="10"/>
        <v>7.563335246707247</v>
      </c>
      <c r="C27" s="203">
        <f t="shared" si="19"/>
        <v>9.786258140627055</v>
      </c>
      <c r="D27" s="203">
        <f t="shared" si="19"/>
        <v>17.41549569426688</v>
      </c>
      <c r="E27" s="203">
        <f t="shared" si="17"/>
        <v>42.80016064895468</v>
      </c>
      <c r="F27" s="203">
        <f t="shared" si="19"/>
        <v>27.797629529017044</v>
      </c>
      <c r="G27" s="203"/>
      <c r="H27" s="203"/>
      <c r="I27" s="202">
        <f t="shared" si="13"/>
        <v>8.9766567924808758</v>
      </c>
      <c r="J27" s="203">
        <v>12.781114270374328</v>
      </c>
      <c r="K27" s="203">
        <f t="shared" si="2"/>
        <v>14.52673304940839</v>
      </c>
      <c r="L27" s="203">
        <f t="shared" si="3"/>
        <v>25.851582212353723</v>
      </c>
      <c r="M27" s="203">
        <f t="shared" si="3"/>
        <v>63.532608611458514</v>
      </c>
      <c r="N27" s="203">
        <f t="shared" si="3"/>
        <v>41.26283384023921</v>
      </c>
      <c r="Q27" s="208">
        <f t="shared" si="20"/>
        <v>221.62589016389614</v>
      </c>
      <c r="R27" s="209"/>
      <c r="U27" s="22">
        <v>2042</v>
      </c>
      <c r="V27" s="186">
        <f t="shared" si="21"/>
        <v>73910.666666666701</v>
      </c>
      <c r="W27" s="186">
        <f t="shared" si="21"/>
        <v>75823.333333333299</v>
      </c>
      <c r="X27" s="186">
        <f t="shared" si="21"/>
        <v>100668.53333333334</v>
      </c>
      <c r="Y27" s="186">
        <f t="shared" si="21"/>
        <v>99059.39999999998</v>
      </c>
      <c r="Z27" s="203"/>
      <c r="AA27" s="203"/>
      <c r="AB27" s="202"/>
      <c r="AC27" s="186">
        <f t="shared" si="22"/>
        <v>73600</v>
      </c>
      <c r="AD27" s="186">
        <f t="shared" si="18"/>
        <v>286.47225274345845</v>
      </c>
      <c r="AE27" s="186">
        <f t="shared" si="18"/>
        <v>2598.0516953147271</v>
      </c>
      <c r="AF27" s="186">
        <f t="shared" si="18"/>
        <v>31715.749151090582</v>
      </c>
      <c r="AG27" s="186">
        <f t="shared" si="18"/>
        <v>28185.343309191874</v>
      </c>
      <c r="AJ27" s="212">
        <f t="shared" si="5"/>
        <v>0.30469815985090343</v>
      </c>
      <c r="AK27" s="212">
        <f t="shared" si="5"/>
        <v>0.65676877749092888</v>
      </c>
      <c r="AL27" s="212">
        <f t="shared" si="5"/>
        <v>5.0744800009993174</v>
      </c>
      <c r="AM27" s="212">
        <f t="shared" si="5"/>
        <v>5.2189710974815453</v>
      </c>
    </row>
    <row r="28" spans="1:39" x14ac:dyDescent="0.2">
      <c r="A28" s="22">
        <v>2043</v>
      </c>
      <c r="B28" s="203">
        <f t="shared" si="10"/>
        <v>7.563335246707247</v>
      </c>
      <c r="C28" s="203">
        <f t="shared" si="19"/>
        <v>10.00589302956277</v>
      </c>
      <c r="D28" s="203">
        <f t="shared" si="19"/>
        <v>18.093652295562055</v>
      </c>
      <c r="E28" s="203">
        <f t="shared" si="17"/>
        <v>44.371739209335196</v>
      </c>
      <c r="F28" s="203">
        <f t="shared" si="19"/>
        <v>29.028302316884375</v>
      </c>
      <c r="G28" s="203"/>
      <c r="H28" s="203"/>
      <c r="I28" s="202">
        <f t="shared" si="13"/>
        <v>8.9766567924808758</v>
      </c>
      <c r="J28" s="203">
        <v>12.781114270374328</v>
      </c>
      <c r="K28" s="203">
        <f t="shared" si="2"/>
        <v>14.852759335866143</v>
      </c>
      <c r="L28" s="203">
        <f t="shared" si="3"/>
        <v>26.85823866583635</v>
      </c>
      <c r="M28" s="203">
        <f t="shared" si="3"/>
        <v>65.865461667729775</v>
      </c>
      <c r="N28" s="203">
        <f t="shared" si="3"/>
        <v>43.089645968390819</v>
      </c>
      <c r="Q28" s="208">
        <f t="shared" si="20"/>
        <v>224.05981404321685</v>
      </c>
      <c r="R28" s="209"/>
      <c r="U28" s="22">
        <v>2043</v>
      </c>
      <c r="V28" s="186">
        <f t="shared" si="21"/>
        <v>73924.333333333372</v>
      </c>
      <c r="W28" s="186">
        <f t="shared" si="21"/>
        <v>75611.666666666628</v>
      </c>
      <c r="X28" s="186">
        <f t="shared" si="21"/>
        <v>98043.466666666674</v>
      </c>
      <c r="Y28" s="186">
        <f t="shared" si="21"/>
        <v>97519.599999999977</v>
      </c>
      <c r="Z28" s="203"/>
      <c r="AA28" s="203"/>
      <c r="AB28" s="202"/>
      <c r="AC28" s="186">
        <f t="shared" si="22"/>
        <v>73600</v>
      </c>
      <c r="AD28" s="186">
        <f t="shared" si="18"/>
        <v>311.10207845837959</v>
      </c>
      <c r="AE28" s="186">
        <f t="shared" si="18"/>
        <v>2216.5897604616794</v>
      </c>
      <c r="AF28" s="186">
        <f t="shared" si="18"/>
        <v>26984.900285965043</v>
      </c>
      <c r="AG28" s="186">
        <f t="shared" si="18"/>
        <v>25410.342896813665</v>
      </c>
      <c r="AJ28" s="212">
        <f t="shared" si="5"/>
        <v>0.28507781702999058</v>
      </c>
      <c r="AK28" s="212">
        <f t="shared" si="5"/>
        <v>0.54052728419522567</v>
      </c>
      <c r="AL28" s="212">
        <f t="shared" si="5"/>
        <v>4.2793794115352881</v>
      </c>
      <c r="AM28" s="212">
        <f t="shared" si="5"/>
        <v>4.6172912701769464</v>
      </c>
    </row>
    <row r="29" spans="1:39" x14ac:dyDescent="0.2">
      <c r="A29" s="22">
        <v>2044</v>
      </c>
      <c r="B29" s="203">
        <f t="shared" si="10"/>
        <v>7.563335246707247</v>
      </c>
      <c r="C29" s="203">
        <f t="shared" si="19"/>
        <v>10.232347516959791</v>
      </c>
      <c r="D29" s="203">
        <f t="shared" si="19"/>
        <v>18.792865459123487</v>
      </c>
      <c r="E29" s="203">
        <f t="shared" si="17"/>
        <v>45.992114820057424</v>
      </c>
      <c r="F29" s="203">
        <f t="shared" si="19"/>
        <v>30.297187131498369</v>
      </c>
      <c r="G29" s="203"/>
      <c r="H29" s="203"/>
      <c r="I29" s="202">
        <f t="shared" si="13"/>
        <v>8.9766567924808758</v>
      </c>
      <c r="J29" s="203">
        <v>12.781114270374328</v>
      </c>
      <c r="K29" s="203">
        <f t="shared" si="2"/>
        <v>15.188908642269617</v>
      </c>
      <c r="L29" s="203">
        <f t="shared" si="3"/>
        <v>27.896151505016611</v>
      </c>
      <c r="M29" s="203">
        <f t="shared" si="3"/>
        <v>68.270749122698291</v>
      </c>
      <c r="N29" s="203">
        <f t="shared" si="3"/>
        <v>44.973180073813914</v>
      </c>
      <c r="Q29" s="208">
        <f t="shared" si="20"/>
        <v>226.49373792253755</v>
      </c>
      <c r="R29" s="209"/>
      <c r="U29" s="22">
        <v>2044</v>
      </c>
      <c r="V29" s="186">
        <f t="shared" si="21"/>
        <v>73938.000000000044</v>
      </c>
      <c r="W29" s="186">
        <f t="shared" si="21"/>
        <v>75399.999999999956</v>
      </c>
      <c r="X29" s="186">
        <f t="shared" si="21"/>
        <v>95418.400000000009</v>
      </c>
      <c r="Y29" s="186">
        <f t="shared" si="21"/>
        <v>95979.799999999974</v>
      </c>
      <c r="Z29" s="203"/>
      <c r="AA29" s="203"/>
      <c r="AB29" s="202"/>
      <c r="AC29" s="186">
        <f t="shared" si="22"/>
        <v>73600</v>
      </c>
      <c r="AD29" s="186">
        <f t="shared" si="18"/>
        <v>336.49665299058393</v>
      </c>
      <c r="AE29" s="186">
        <f t="shared" si="18"/>
        <v>1823.2835451458345</v>
      </c>
      <c r="AF29" s="186">
        <f t="shared" si="18"/>
        <v>22107.159960208599</v>
      </c>
      <c r="AG29" s="186">
        <f t="shared" si="18"/>
        <v>22549.179540860874</v>
      </c>
      <c r="AJ29" s="212">
        <f t="shared" si="5"/>
        <v>0.27130427773991311</v>
      </c>
      <c r="AK29" s="212">
        <f t="shared" si="5"/>
        <v>0.43008867001994622</v>
      </c>
      <c r="AL29" s="212">
        <f t="shared" si="5"/>
        <v>3.4763578271997577</v>
      </c>
      <c r="AM29" s="212">
        <f t="shared" si="5"/>
        <v>4.0262822204235409</v>
      </c>
    </row>
    <row r="30" spans="1:39" x14ac:dyDescent="0.2">
      <c r="A30" s="22">
        <v>2045</v>
      </c>
      <c r="B30" s="203">
        <f t="shared" si="10"/>
        <v>7.563335246707247</v>
      </c>
      <c r="C30" s="203">
        <f t="shared" si="19"/>
        <v>10.4391364116359</v>
      </c>
      <c r="D30" s="203">
        <f t="shared" si="19"/>
        <v>19.431358071470619</v>
      </c>
      <c r="E30" s="203">
        <f t="shared" si="17"/>
        <v>47.471774973198578</v>
      </c>
      <c r="F30" s="203">
        <f t="shared" si="19"/>
        <v>31.455880391682264</v>
      </c>
      <c r="G30" s="203"/>
      <c r="H30" s="203"/>
      <c r="I30" s="202">
        <f t="shared" si="13"/>
        <v>8.9766567924808758</v>
      </c>
      <c r="J30" s="203">
        <v>12.781114270374328</v>
      </c>
      <c r="K30" s="203">
        <f t="shared" si="2"/>
        <v>15.4958663197982</v>
      </c>
      <c r="L30" s="203">
        <f t="shared" si="3"/>
        <v>28.843930686834913</v>
      </c>
      <c r="M30" s="203">
        <f t="shared" si="3"/>
        <v>70.467158387572951</v>
      </c>
      <c r="N30" s="203">
        <f t="shared" si="3"/>
        <v>46.693145706741888</v>
      </c>
      <c r="Q30" s="208">
        <f t="shared" si="20"/>
        <v>228.92766180185825</v>
      </c>
      <c r="R30" s="209"/>
      <c r="U30" s="22">
        <v>2045</v>
      </c>
      <c r="V30" s="186">
        <f t="shared" si="21"/>
        <v>73951.666666666715</v>
      </c>
      <c r="W30" s="186">
        <f t="shared" si="21"/>
        <v>75188.333333333285</v>
      </c>
      <c r="X30" s="186">
        <f t="shared" si="21"/>
        <v>92793.333333333343</v>
      </c>
      <c r="Y30" s="186">
        <f t="shared" si="21"/>
        <v>94439.999999999971</v>
      </c>
      <c r="Z30" s="203"/>
      <c r="AA30" s="203"/>
      <c r="AB30" s="202"/>
      <c r="AC30" s="186">
        <f t="shared" si="22"/>
        <v>73600</v>
      </c>
      <c r="AD30" s="186">
        <f t="shared" si="18"/>
        <v>359.68593070658693</v>
      </c>
      <c r="AE30" s="186">
        <f t="shared" si="18"/>
        <v>1464.1325366174942</v>
      </c>
      <c r="AF30" s="186">
        <f t="shared" si="18"/>
        <v>17653.008743889866</v>
      </c>
      <c r="AG30" s="186">
        <f t="shared" si="18"/>
        <v>19936.483212048581</v>
      </c>
      <c r="AJ30" s="212">
        <f t="shared" si="5"/>
        <v>0.26240847642904713</v>
      </c>
      <c r="AK30" s="212">
        <f t="shared" si="5"/>
        <v>0.33603294412267604</v>
      </c>
      <c r="AL30" s="212">
        <f t="shared" si="5"/>
        <v>2.7561538409332758</v>
      </c>
      <c r="AM30" s="212">
        <f t="shared" si="5"/>
        <v>3.508460538406573</v>
      </c>
    </row>
    <row r="31" spans="1:39" x14ac:dyDescent="0.2">
      <c r="A31" s="22">
        <v>2046</v>
      </c>
      <c r="B31" s="203">
        <f t="shared" si="10"/>
        <v>7.563335246707247</v>
      </c>
      <c r="C31" s="203">
        <f t="shared" si="19"/>
        <v>10.608053679017589</v>
      </c>
      <c r="D31" s="203">
        <f t="shared" si="19"/>
        <v>19.952916192326192</v>
      </c>
      <c r="E31" s="203">
        <f t="shared" si="17"/>
        <v>48.680447953987269</v>
      </c>
      <c r="F31" s="203">
        <f t="shared" si="19"/>
        <v>32.402368836095114</v>
      </c>
      <c r="G31" s="203"/>
      <c r="H31" s="203"/>
      <c r="I31" s="202">
        <f t="shared" si="13"/>
        <v>8.9766567924808758</v>
      </c>
      <c r="J31" s="203">
        <v>12.781114270374328</v>
      </c>
      <c r="K31" s="203">
        <f t="shared" si="2"/>
        <v>15.746607309401005</v>
      </c>
      <c r="L31" s="203">
        <f t="shared" si="3"/>
        <v>29.618132172484113</v>
      </c>
      <c r="M31" s="203">
        <f t="shared" si="3"/>
        <v>72.261313976322327</v>
      </c>
      <c r="N31" s="203">
        <f t="shared" si="3"/>
        <v>48.098114262522735</v>
      </c>
      <c r="Q31" s="208">
        <f t="shared" si="20"/>
        <v>231.36158568117895</v>
      </c>
      <c r="R31" s="209"/>
      <c r="U31" s="22">
        <v>2046</v>
      </c>
      <c r="V31" s="186">
        <f t="shared" si="21"/>
        <v>73965.333333333387</v>
      </c>
      <c r="W31" s="186">
        <f t="shared" si="21"/>
        <v>74976.666666666613</v>
      </c>
      <c r="X31" s="186">
        <f t="shared" si="21"/>
        <v>90168.266666666677</v>
      </c>
      <c r="Y31" s="186">
        <f t="shared" si="21"/>
        <v>92900.199999999968</v>
      </c>
      <c r="Z31" s="203"/>
      <c r="AA31" s="203"/>
      <c r="AB31" s="202"/>
      <c r="AC31" s="186">
        <f t="shared" si="22"/>
        <v>73600</v>
      </c>
      <c r="AD31" s="186">
        <f t="shared" si="18"/>
        <v>378.62828943662214</v>
      </c>
      <c r="AE31" s="186">
        <f t="shared" si="18"/>
        <v>1170.7569806767056</v>
      </c>
      <c r="AF31" s="186">
        <f t="shared" si="18"/>
        <v>14014.597439724686</v>
      </c>
      <c r="AG31" s="186">
        <f t="shared" si="18"/>
        <v>17802.279994547989</v>
      </c>
      <c r="AJ31" s="212">
        <f t="shared" si="5"/>
        <v>0.25696375224239676</v>
      </c>
      <c r="AK31" s="212">
        <f t="shared" si="5"/>
        <v>0.26322550457124994</v>
      </c>
      <c r="AL31" s="212">
        <f t="shared" si="5"/>
        <v>2.1761197048122027</v>
      </c>
      <c r="AM31" s="212">
        <f t="shared" si="5"/>
        <v>3.0987646252150878</v>
      </c>
    </row>
    <row r="32" spans="1:39" x14ac:dyDescent="0.2">
      <c r="A32" s="22">
        <v>2047</v>
      </c>
      <c r="B32" s="203">
        <f t="shared" si="10"/>
        <v>7.563335246707247</v>
      </c>
      <c r="C32" s="203">
        <f t="shared" si="19"/>
        <v>10.733914736024348</v>
      </c>
      <c r="D32" s="203">
        <f t="shared" si="19"/>
        <v>20.341531621635809</v>
      </c>
      <c r="E32" s="203">
        <f t="shared" si="17"/>
        <v>49.581035924036726</v>
      </c>
      <c r="F32" s="203">
        <f t="shared" si="19"/>
        <v>33.107601864695475</v>
      </c>
      <c r="G32" s="203"/>
      <c r="H32" s="203"/>
      <c r="I32" s="202">
        <f t="shared" si="13"/>
        <v>8.9766567924808758</v>
      </c>
      <c r="J32" s="203">
        <v>12.781114270374328</v>
      </c>
      <c r="K32" s="203">
        <f t="shared" si="2"/>
        <v>15.933435609879128</v>
      </c>
      <c r="L32" s="203">
        <f t="shared" si="3"/>
        <v>30.19499337104844</v>
      </c>
      <c r="M32" s="203">
        <f t="shared" si="3"/>
        <v>73.598147814181701</v>
      </c>
      <c r="N32" s="203">
        <f t="shared" si="3"/>
        <v>49.144962996419594</v>
      </c>
      <c r="Q32" s="208">
        <f t="shared" si="20"/>
        <v>233.79550956049965</v>
      </c>
      <c r="R32" s="209"/>
      <c r="U32" s="22">
        <v>2047</v>
      </c>
      <c r="V32" s="186">
        <f t="shared" si="21"/>
        <v>73979.000000000058</v>
      </c>
      <c r="W32" s="186">
        <f t="shared" si="21"/>
        <v>74764.999999999942</v>
      </c>
      <c r="X32" s="186">
        <f t="shared" si="21"/>
        <v>87543.200000000012</v>
      </c>
      <c r="Y32" s="186">
        <f t="shared" si="21"/>
        <v>91360.399999999965</v>
      </c>
      <c r="Z32" s="203"/>
      <c r="AA32" s="203"/>
      <c r="AB32" s="202"/>
      <c r="AC32" s="186">
        <f t="shared" si="22"/>
        <v>73600</v>
      </c>
      <c r="AD32" s="186">
        <f t="shared" si="18"/>
        <v>392.7423307594446</v>
      </c>
      <c r="AE32" s="186">
        <f t="shared" si="18"/>
        <v>952.16146262811071</v>
      </c>
      <c r="AF32" s="186">
        <f t="shared" si="18"/>
        <v>11303.599922029753</v>
      </c>
      <c r="AG32" s="186">
        <f t="shared" si="18"/>
        <v>16212.075055849273</v>
      </c>
      <c r="AJ32" s="212">
        <f t="shared" si="5"/>
        <v>0.25372039482501096</v>
      </c>
      <c r="AK32" s="212">
        <f t="shared" si="5"/>
        <v>0.2110176253111096</v>
      </c>
      <c r="AL32" s="212">
        <f t="shared" si="5"/>
        <v>1.7483450470026736</v>
      </c>
      <c r="AM32" s="212">
        <f t="shared" si="5"/>
        <v>2.8003769440109778</v>
      </c>
    </row>
    <row r="33" spans="1:39" x14ac:dyDescent="0.2">
      <c r="A33" s="22">
        <v>2048</v>
      </c>
      <c r="B33" s="203">
        <f t="shared" si="10"/>
        <v>7.563335246707247</v>
      </c>
      <c r="C33" s="203">
        <f t="shared" si="19"/>
        <v>10.821415870828011</v>
      </c>
      <c r="D33" s="203">
        <f t="shared" si="19"/>
        <v>20.611704873597116</v>
      </c>
      <c r="E33" s="203">
        <f t="shared" si="17"/>
        <v>50.207142769505396</v>
      </c>
      <c r="F33" s="203">
        <f t="shared" si="19"/>
        <v>33.597894031082106</v>
      </c>
      <c r="G33" s="203"/>
      <c r="H33" s="203"/>
      <c r="I33" s="202">
        <f t="shared" si="13"/>
        <v>8.9766567924808758</v>
      </c>
      <c r="J33" s="203">
        <v>12.781114270374328</v>
      </c>
      <c r="K33" s="203">
        <f t="shared" si="2"/>
        <v>16.063322396896957</v>
      </c>
      <c r="L33" s="203">
        <f t="shared" si="3"/>
        <v>30.59603886279152</v>
      </c>
      <c r="M33" s="203">
        <f t="shared" si="3"/>
        <v>74.527541549134597</v>
      </c>
      <c r="N33" s="203">
        <f t="shared" si="3"/>
        <v>49.872753262624279</v>
      </c>
      <c r="Q33" s="208">
        <f t="shared" si="20"/>
        <v>236.22943343982035</v>
      </c>
      <c r="R33" s="209"/>
      <c r="U33" s="22">
        <v>2048</v>
      </c>
      <c r="V33" s="186">
        <f t="shared" si="21"/>
        <v>73992.66666666673</v>
      </c>
      <c r="W33" s="186">
        <f t="shared" si="21"/>
        <v>74553.33333333327</v>
      </c>
      <c r="X33" s="186">
        <f t="shared" si="21"/>
        <v>84918.133333333346</v>
      </c>
      <c r="Y33" s="186">
        <f t="shared" si="21"/>
        <v>89820.599999999962</v>
      </c>
      <c r="Z33" s="203"/>
      <c r="AA33" s="203"/>
      <c r="AB33" s="202"/>
      <c r="AC33" s="186">
        <f t="shared" si="22"/>
        <v>73600</v>
      </c>
      <c r="AD33" s="186">
        <f t="shared" si="18"/>
        <v>402.55469577356064</v>
      </c>
      <c r="AE33" s="186">
        <f t="shared" si="18"/>
        <v>800.18946789729125</v>
      </c>
      <c r="AF33" s="186">
        <f t="shared" si="18"/>
        <v>9418.8599961964428</v>
      </c>
      <c r="AG33" s="186">
        <f t="shared" si="18"/>
        <v>15106.532642527152</v>
      </c>
      <c r="AJ33" s="212">
        <f t="shared" si="5"/>
        <v>0.2518041446258919</v>
      </c>
      <c r="AK33" s="212">
        <f t="shared" si="5"/>
        <v>0.17564782001584345</v>
      </c>
      <c r="AL33" s="212">
        <f t="shared" si="5"/>
        <v>1.4530214336837048</v>
      </c>
      <c r="AM33" s="212">
        <f t="shared" si="5"/>
        <v>2.5960964982988379</v>
      </c>
    </row>
    <row r="34" spans="1:39" x14ac:dyDescent="0.2">
      <c r="A34" s="22">
        <v>2049</v>
      </c>
      <c r="B34" s="203">
        <f t="shared" si="10"/>
        <v>7.563335246707247</v>
      </c>
      <c r="C34" s="203">
        <f t="shared" si="19"/>
        <v>10.879357994285096</v>
      </c>
      <c r="D34" s="203">
        <f t="shared" si="19"/>
        <v>20.790610118141316</v>
      </c>
      <c r="E34" s="203">
        <f t="shared" si="17"/>
        <v>50.621742651196911</v>
      </c>
      <c r="F34" s="203">
        <f t="shared" si="19"/>
        <v>33.92255918312339</v>
      </c>
      <c r="G34" s="203"/>
      <c r="H34" s="203"/>
      <c r="I34" s="202">
        <f t="shared" si="13"/>
        <v>8.9766567924808758</v>
      </c>
      <c r="J34" s="203">
        <v>12.781114270374328</v>
      </c>
      <c r="K34" s="203">
        <f t="shared" si="2"/>
        <v>16.149331752840947</v>
      </c>
      <c r="L34" s="203">
        <f t="shared" si="3"/>
        <v>30.861606017396149</v>
      </c>
      <c r="M34" s="203">
        <f t="shared" si="3"/>
        <v>75.1429740992577</v>
      </c>
      <c r="N34" s="203">
        <f t="shared" si="3"/>
        <v>50.354686594688125</v>
      </c>
      <c r="Q34" s="208">
        <f t="shared" si="20"/>
        <v>238.66335731914106</v>
      </c>
      <c r="R34" s="209"/>
      <c r="U34" s="22">
        <v>2049</v>
      </c>
      <c r="V34" s="186">
        <f t="shared" si="21"/>
        <v>74006.333333333401</v>
      </c>
      <c r="W34" s="186">
        <f t="shared" si="21"/>
        <v>74341.666666666599</v>
      </c>
      <c r="X34" s="186">
        <f t="shared" si="21"/>
        <v>82293.06666666668</v>
      </c>
      <c r="Y34" s="186">
        <f t="shared" si="21"/>
        <v>88280.799999999959</v>
      </c>
      <c r="Z34" s="203"/>
      <c r="AA34" s="203"/>
      <c r="AB34" s="202"/>
      <c r="AC34" s="186">
        <f t="shared" si="22"/>
        <v>73600</v>
      </c>
      <c r="AD34" s="186">
        <f t="shared" si="18"/>
        <v>409.0523173910359</v>
      </c>
      <c r="AE34" s="186">
        <f t="shared" si="18"/>
        <v>699.55557211444511</v>
      </c>
      <c r="AF34" s="186">
        <f t="shared" si="18"/>
        <v>8170.8095141978702</v>
      </c>
      <c r="AG34" s="186">
        <f t="shared" si="18"/>
        <v>14374.456708386544</v>
      </c>
      <c r="AJ34" s="212">
        <f t="shared" si="5"/>
        <v>0.25066979488916491</v>
      </c>
      <c r="AK34" s="212">
        <f t="shared" si="5"/>
        <v>0.15261570334454636</v>
      </c>
      <c r="AL34" s="212">
        <f t="shared" si="5"/>
        <v>1.2583548431699387</v>
      </c>
      <c r="AM34" s="212">
        <f t="shared" si="5"/>
        <v>2.4621673413801672</v>
      </c>
    </row>
    <row r="35" spans="1:39" x14ac:dyDescent="0.2">
      <c r="A35" s="200">
        <v>2050</v>
      </c>
      <c r="B35" s="201">
        <f t="shared" si="10"/>
        <v>7.563335246707247</v>
      </c>
      <c r="C35" s="201">
        <f>C$3*'Class 6 Box Truck'!$G78</f>
        <v>10.976983250823821</v>
      </c>
      <c r="D35" s="201">
        <f>D$3*'Class 6 Box Truck'!$Q78</f>
        <v>21.092043157744826</v>
      </c>
      <c r="E35" s="201">
        <f>E$3*'Class 6 Box Truck'!$L78</f>
        <v>51.320291779121732</v>
      </c>
      <c r="F35" s="201">
        <f>F$3*'Class 6 Box Truck'!$V78</f>
        <v>34.469579500400677</v>
      </c>
      <c r="G35" s="201"/>
      <c r="H35" s="201"/>
      <c r="I35" s="202">
        <f t="shared" si="13"/>
        <v>8.9766567924808758</v>
      </c>
      <c r="J35" s="203">
        <v>12.781114270374328</v>
      </c>
      <c r="K35" s="203">
        <f t="shared" si="2"/>
        <v>16.2942467980236</v>
      </c>
      <c r="L35" s="203">
        <f t="shared" si="3"/>
        <v>31.309053574538904</v>
      </c>
      <c r="M35" s="203">
        <f t="shared" si="3"/>
        <v>76.179901243160998</v>
      </c>
      <c r="N35" s="203">
        <f t="shared" si="3"/>
        <v>51.166684194536913</v>
      </c>
      <c r="Q35" s="204">
        <f>'Class 6 Box Truck'!L73</f>
        <v>241.09728119846181</v>
      </c>
      <c r="R35" s="205"/>
      <c r="S35" s="200"/>
      <c r="U35" s="200">
        <v>2050</v>
      </c>
      <c r="V35" s="206">
        <f>'Class 6 Box Truck'!G$83</f>
        <v>74020</v>
      </c>
      <c r="W35" s="206">
        <f>'Class 6 Box Truck'!$Q$83</f>
        <v>74130</v>
      </c>
      <c r="X35" s="206">
        <f>'Class 6 Box Truck'!$L$83</f>
        <v>79668</v>
      </c>
      <c r="Y35" s="206">
        <f>'Class 6 Box Truck'!$V$83</f>
        <v>86741</v>
      </c>
      <c r="Z35" s="201"/>
      <c r="AA35" s="201"/>
      <c r="AB35" s="202"/>
      <c r="AC35" s="219">
        <f t="shared" si="8"/>
        <v>73600</v>
      </c>
      <c r="AD35" s="206">
        <f t="shared" ref="AD35" si="23">V35-$AC35</f>
        <v>420</v>
      </c>
      <c r="AE35" s="206">
        <f>W35-$AC35</f>
        <v>530</v>
      </c>
      <c r="AF35" s="206">
        <f>X35-$AC35</f>
        <v>6068</v>
      </c>
      <c r="AG35" s="206">
        <f>Y35-$AC35</f>
        <v>13141</v>
      </c>
      <c r="AH35" s="200"/>
      <c r="AJ35" s="212">
        <f t="shared" si="5"/>
        <v>0.2489761602421533</v>
      </c>
      <c r="AK35" s="212">
        <f t="shared" si="5"/>
        <v>0.11446887318551337</v>
      </c>
      <c r="AL35" s="212">
        <f t="shared" si="5"/>
        <v>0.93190951641723141</v>
      </c>
      <c r="AM35" s="212">
        <f t="shared" si="5"/>
        <v>2.2388057505241381</v>
      </c>
    </row>
    <row r="37" spans="1:39" x14ac:dyDescent="0.2">
      <c r="C37" s="22">
        <f>C35/$J$35</f>
        <v>0.85884399580619131</v>
      </c>
      <c r="D37" s="22">
        <f>D35/$J$35</f>
        <v>1.6502507302226859</v>
      </c>
      <c r="E37" s="22">
        <f>E35/$J$35</f>
        <v>4.0153221928449812</v>
      </c>
      <c r="K37" s="22">
        <f>K35/$J$35</f>
        <v>1.2748690335859412</v>
      </c>
      <c r="L37" s="22">
        <f>L35/$J$35</f>
        <v>2.4496341173563372</v>
      </c>
      <c r="M37" s="22">
        <f>M35/$J$35</f>
        <v>5.9603489673619725</v>
      </c>
    </row>
    <row r="38" spans="1:39" ht="15" thickBot="1" x14ac:dyDescent="0.25"/>
    <row r="39" spans="1:39" x14ac:dyDescent="0.2">
      <c r="A39" s="22" t="s">
        <v>200</v>
      </c>
      <c r="B39" s="22" t="s">
        <v>203</v>
      </c>
      <c r="C39" s="213">
        <v>1.3</v>
      </c>
      <c r="D39" s="22" t="s">
        <v>224</v>
      </c>
    </row>
    <row r="40" spans="1:39" x14ac:dyDescent="0.2">
      <c r="C40" s="214">
        <v>1</v>
      </c>
      <c r="D40" s="22" t="s">
        <v>225</v>
      </c>
    </row>
    <row r="41" spans="1:39" ht="15" thickBot="1" x14ac:dyDescent="0.25">
      <c r="C41" s="215">
        <v>2</v>
      </c>
      <c r="D41" s="216" t="s">
        <v>226</v>
      </c>
    </row>
    <row r="42" spans="1:39" x14ac:dyDescent="0.2">
      <c r="B42" s="22" t="s">
        <v>202</v>
      </c>
      <c r="C42" s="213">
        <v>0.55000000000000004</v>
      </c>
      <c r="D42" s="22" t="s">
        <v>224</v>
      </c>
    </row>
    <row r="43" spans="1:39" x14ac:dyDescent="0.2">
      <c r="C43" s="214">
        <v>0.2</v>
      </c>
      <c r="D43" s="22" t="s">
        <v>225</v>
      </c>
    </row>
    <row r="44" spans="1:39" ht="15" thickBot="1" x14ac:dyDescent="0.25">
      <c r="C44" s="215">
        <v>0.55000000000000004</v>
      </c>
      <c r="D44" s="22" t="s">
        <v>226</v>
      </c>
    </row>
    <row r="57" spans="2:31" ht="15" thickBot="1" x14ac:dyDescent="0.25">
      <c r="B57" s="253" t="s">
        <v>318</v>
      </c>
      <c r="I57" s="257"/>
    </row>
    <row r="58" spans="2:31" ht="17" thickBot="1" x14ac:dyDescent="0.25">
      <c r="B58" s="280"/>
      <c r="C58" s="378" t="s">
        <v>305</v>
      </c>
      <c r="D58" s="379"/>
      <c r="E58" s="379"/>
      <c r="F58" s="379"/>
      <c r="G58" s="379"/>
      <c r="H58" s="379"/>
      <c r="I58" s="379" t="s">
        <v>306</v>
      </c>
      <c r="J58" s="379"/>
      <c r="K58" s="379"/>
      <c r="L58" s="379"/>
      <c r="M58" s="380"/>
      <c r="N58" s="381" t="s">
        <v>307</v>
      </c>
      <c r="O58" s="382"/>
      <c r="P58" s="382"/>
      <c r="Q58" s="382"/>
      <c r="R58" s="382"/>
      <c r="S58" s="383"/>
      <c r="T58" s="381" t="s">
        <v>308</v>
      </c>
      <c r="U58" s="382"/>
      <c r="V58" s="382"/>
      <c r="W58" s="382"/>
      <c r="X58" s="382"/>
      <c r="Y58" s="383"/>
      <c r="Z58" s="381" t="s">
        <v>309</v>
      </c>
      <c r="AA58" s="382"/>
      <c r="AB58" s="382"/>
      <c r="AC58" s="382"/>
      <c r="AD58" s="382"/>
      <c r="AE58" s="383"/>
    </row>
    <row r="59" spans="2:31" ht="15" thickBot="1" x14ac:dyDescent="0.25">
      <c r="B59" s="281" t="s">
        <v>310</v>
      </c>
      <c r="C59" s="282" t="s">
        <v>311</v>
      </c>
      <c r="D59" s="283" t="s">
        <v>312</v>
      </c>
      <c r="E59" s="284" t="s">
        <v>313</v>
      </c>
      <c r="F59" s="283" t="s">
        <v>314</v>
      </c>
      <c r="G59" s="284" t="s">
        <v>315</v>
      </c>
      <c r="H59" s="283" t="s">
        <v>316</v>
      </c>
      <c r="I59" s="283" t="s">
        <v>312</v>
      </c>
      <c r="J59" s="284" t="s">
        <v>313</v>
      </c>
      <c r="K59" s="283" t="s">
        <v>314</v>
      </c>
      <c r="L59" s="284" t="s">
        <v>315</v>
      </c>
      <c r="M59" s="285" t="s">
        <v>316</v>
      </c>
      <c r="N59" s="286" t="s">
        <v>311</v>
      </c>
      <c r="O59" s="287" t="s">
        <v>312</v>
      </c>
      <c r="P59" s="288" t="s">
        <v>313</v>
      </c>
      <c r="Q59" s="287" t="s">
        <v>314</v>
      </c>
      <c r="R59" s="288" t="s">
        <v>315</v>
      </c>
      <c r="S59" s="287" t="s">
        <v>316</v>
      </c>
      <c r="T59" s="287" t="s">
        <v>311</v>
      </c>
      <c r="U59" s="287" t="s">
        <v>312</v>
      </c>
      <c r="V59" s="288" t="s">
        <v>313</v>
      </c>
      <c r="W59" s="287" t="s">
        <v>314</v>
      </c>
      <c r="X59" s="288" t="s">
        <v>315</v>
      </c>
      <c r="Y59" s="289" t="s">
        <v>316</v>
      </c>
      <c r="Z59" s="287" t="s">
        <v>311</v>
      </c>
      <c r="AA59" s="287" t="s">
        <v>312</v>
      </c>
      <c r="AB59" s="288" t="s">
        <v>313</v>
      </c>
      <c r="AC59" s="287" t="s">
        <v>314</v>
      </c>
      <c r="AD59" s="288" t="s">
        <v>315</v>
      </c>
      <c r="AE59" s="289" t="s">
        <v>316</v>
      </c>
    </row>
    <row r="60" spans="2:31" ht="15" thickBot="1" x14ac:dyDescent="0.25">
      <c r="B60" s="291" t="s">
        <v>317</v>
      </c>
      <c r="C60" s="292"/>
      <c r="D60" s="293" t="str">
        <f>K4</f>
        <v>Adv Conv</v>
      </c>
      <c r="E60" s="293" t="str">
        <f t="shared" ref="E60:H60" si="24">L4</f>
        <v>HEV</v>
      </c>
      <c r="F60" s="293" t="str">
        <f t="shared" si="24"/>
        <v>BEV</v>
      </c>
      <c r="G60" s="293" t="str">
        <f t="shared" si="24"/>
        <v>FCEV</v>
      </c>
      <c r="H60" s="294" t="str">
        <f t="shared" si="24"/>
        <v>PHEV</v>
      </c>
      <c r="I60" s="295">
        <v>0</v>
      </c>
      <c r="J60" s="296">
        <v>0</v>
      </c>
      <c r="K60" s="296">
        <v>0</v>
      </c>
      <c r="L60" s="296">
        <v>0</v>
      </c>
      <c r="M60" s="297">
        <v>0</v>
      </c>
      <c r="N60" s="298"/>
      <c r="O60" s="293" t="str">
        <f>D60</f>
        <v>Adv Conv</v>
      </c>
      <c r="P60" s="293" t="str">
        <f t="shared" ref="P60:S60" si="25">E60</f>
        <v>HEV</v>
      </c>
      <c r="Q60" s="293" t="str">
        <f t="shared" si="25"/>
        <v>BEV</v>
      </c>
      <c r="R60" s="293" t="str">
        <f t="shared" si="25"/>
        <v>FCEV</v>
      </c>
      <c r="S60" s="294" t="str">
        <f t="shared" si="25"/>
        <v>PHEV</v>
      </c>
      <c r="T60" s="299"/>
      <c r="U60" s="293" t="str">
        <f>O60</f>
        <v>Adv Conv</v>
      </c>
      <c r="V60" s="293" t="str">
        <f t="shared" ref="V60:Y60" si="26">P60</f>
        <v>HEV</v>
      </c>
      <c r="W60" s="293" t="str">
        <f t="shared" si="26"/>
        <v>BEV</v>
      </c>
      <c r="X60" s="293" t="str">
        <f t="shared" si="26"/>
        <v>FCEV</v>
      </c>
      <c r="Y60" s="294" t="str">
        <f t="shared" si="26"/>
        <v>PHEV</v>
      </c>
      <c r="Z60" s="298"/>
      <c r="AA60" s="293" t="str">
        <f t="shared" ref="AA60:AE60" si="27">U60</f>
        <v>Adv Conv</v>
      </c>
      <c r="AB60" s="293" t="str">
        <f t="shared" si="27"/>
        <v>HEV</v>
      </c>
      <c r="AC60" s="293" t="str">
        <f t="shared" si="27"/>
        <v>BEV</v>
      </c>
      <c r="AD60" s="293" t="str">
        <f t="shared" si="27"/>
        <v>FCEV</v>
      </c>
      <c r="AE60" s="294" t="str">
        <f t="shared" si="27"/>
        <v>PHEV</v>
      </c>
    </row>
    <row r="61" spans="2:31" x14ac:dyDescent="0.2">
      <c r="B61" s="300">
        <v>2007</v>
      </c>
      <c r="C61" s="301">
        <f t="shared" ref="C61:C73" si="28">C62</f>
        <v>72485</v>
      </c>
      <c r="D61" s="302">
        <v>1000000</v>
      </c>
      <c r="E61" s="302">
        <v>1000000</v>
      </c>
      <c r="F61" s="302">
        <v>1000000</v>
      </c>
      <c r="G61" s="302">
        <v>1000000</v>
      </c>
      <c r="H61" s="303">
        <v>1000000</v>
      </c>
      <c r="I61" s="304">
        <f>D61*I60</f>
        <v>0</v>
      </c>
      <c r="J61" s="305">
        <f>E61*J60</f>
        <v>0</v>
      </c>
      <c r="K61" s="305">
        <f>F61*K60</f>
        <v>0</v>
      </c>
      <c r="L61" s="305">
        <f>G61*L60</f>
        <v>0</v>
      </c>
      <c r="M61" s="306">
        <f>H61*M60</f>
        <v>0</v>
      </c>
      <c r="N61" s="371">
        <v>5.9278738513698928</v>
      </c>
      <c r="O61" s="308">
        <v>1</v>
      </c>
      <c r="P61" s="308">
        <v>1</v>
      </c>
      <c r="Q61" s="308">
        <v>1</v>
      </c>
      <c r="R61" s="308">
        <v>1</v>
      </c>
      <c r="S61" s="309">
        <v>1</v>
      </c>
      <c r="T61" s="310">
        <v>1</v>
      </c>
      <c r="U61" s="311">
        <v>1</v>
      </c>
      <c r="V61" s="311">
        <v>1</v>
      </c>
      <c r="W61" s="311">
        <v>1</v>
      </c>
      <c r="X61" s="311">
        <v>1</v>
      </c>
      <c r="Y61" s="312">
        <v>1</v>
      </c>
      <c r="Z61" s="310">
        <v>0</v>
      </c>
      <c r="AA61" s="311">
        <v>0</v>
      </c>
      <c r="AB61" s="311">
        <v>0</v>
      </c>
      <c r="AC61" s="311">
        <v>0</v>
      </c>
      <c r="AD61" s="311">
        <v>0</v>
      </c>
      <c r="AE61" s="312">
        <v>0</v>
      </c>
    </row>
    <row r="62" spans="2:31" x14ac:dyDescent="0.2">
      <c r="B62" s="313">
        <v>2008</v>
      </c>
      <c r="C62" s="314">
        <f t="shared" si="28"/>
        <v>72485</v>
      </c>
      <c r="D62" s="315">
        <v>1000000</v>
      </c>
      <c r="E62" s="315">
        <v>1000000</v>
      </c>
      <c r="F62" s="315">
        <v>1000000</v>
      </c>
      <c r="G62" s="315">
        <v>1000000</v>
      </c>
      <c r="H62" s="316">
        <v>1000000</v>
      </c>
      <c r="I62" s="317">
        <f>D62*I60</f>
        <v>0</v>
      </c>
      <c r="J62" s="318">
        <f>E62*J60</f>
        <v>0</v>
      </c>
      <c r="K62" s="318">
        <f>F62*K60</f>
        <v>0</v>
      </c>
      <c r="L62" s="318">
        <f>G62*L60</f>
        <v>0</v>
      </c>
      <c r="M62" s="319">
        <f>H62*M60</f>
        <v>0</v>
      </c>
      <c r="N62" s="372">
        <v>5.9278738513698928</v>
      </c>
      <c r="O62" s="321">
        <v>1</v>
      </c>
      <c r="P62" s="321">
        <v>1</v>
      </c>
      <c r="Q62" s="321">
        <v>1</v>
      </c>
      <c r="R62" s="321">
        <v>1</v>
      </c>
      <c r="S62" s="322">
        <v>1</v>
      </c>
      <c r="T62" s="323">
        <v>1</v>
      </c>
      <c r="U62" s="324">
        <v>1</v>
      </c>
      <c r="V62" s="324">
        <v>1</v>
      </c>
      <c r="W62" s="324">
        <v>1</v>
      </c>
      <c r="X62" s="324">
        <v>1</v>
      </c>
      <c r="Y62" s="325">
        <v>1</v>
      </c>
      <c r="Z62" s="323">
        <v>0</v>
      </c>
      <c r="AA62" s="324">
        <v>0</v>
      </c>
      <c r="AB62" s="324">
        <v>0</v>
      </c>
      <c r="AC62" s="324">
        <v>0</v>
      </c>
      <c r="AD62" s="324">
        <v>0</v>
      </c>
      <c r="AE62" s="325">
        <v>0</v>
      </c>
    </row>
    <row r="63" spans="2:31" x14ac:dyDescent="0.2">
      <c r="B63" s="313">
        <v>2009</v>
      </c>
      <c r="C63" s="314">
        <f t="shared" si="28"/>
        <v>72485</v>
      </c>
      <c r="D63" s="315">
        <v>1000000</v>
      </c>
      <c r="E63" s="315">
        <v>1000000</v>
      </c>
      <c r="F63" s="315">
        <v>1000000</v>
      </c>
      <c r="G63" s="315">
        <v>1000000</v>
      </c>
      <c r="H63" s="316">
        <v>1000000</v>
      </c>
      <c r="I63" s="317">
        <f>D63*I60</f>
        <v>0</v>
      </c>
      <c r="J63" s="318">
        <f>E63*J60</f>
        <v>0</v>
      </c>
      <c r="K63" s="318">
        <f>F63*K60</f>
        <v>0</v>
      </c>
      <c r="L63" s="318">
        <f>G63*L60</f>
        <v>0</v>
      </c>
      <c r="M63" s="319">
        <f>H63*M60</f>
        <v>0</v>
      </c>
      <c r="N63" s="372">
        <v>5.9278738513698928</v>
      </c>
      <c r="O63" s="321">
        <v>1</v>
      </c>
      <c r="P63" s="321">
        <v>1</v>
      </c>
      <c r="Q63" s="321">
        <v>1</v>
      </c>
      <c r="R63" s="321">
        <v>1</v>
      </c>
      <c r="S63" s="322">
        <v>1</v>
      </c>
      <c r="T63" s="323">
        <v>1</v>
      </c>
      <c r="U63" s="324">
        <v>1</v>
      </c>
      <c r="V63" s="324">
        <v>1</v>
      </c>
      <c r="W63" s="324">
        <v>1</v>
      </c>
      <c r="X63" s="324">
        <v>1</v>
      </c>
      <c r="Y63" s="325">
        <v>1</v>
      </c>
      <c r="Z63" s="323">
        <v>0</v>
      </c>
      <c r="AA63" s="324">
        <v>0</v>
      </c>
      <c r="AB63" s="324">
        <v>0</v>
      </c>
      <c r="AC63" s="324">
        <v>0</v>
      </c>
      <c r="AD63" s="324">
        <v>0</v>
      </c>
      <c r="AE63" s="325">
        <v>0</v>
      </c>
    </row>
    <row r="64" spans="2:31" ht="15" thickBot="1" x14ac:dyDescent="0.25">
      <c r="B64" s="326">
        <v>2010</v>
      </c>
      <c r="C64" s="373">
        <f t="shared" si="28"/>
        <v>72485</v>
      </c>
      <c r="D64" s="328">
        <v>1000000</v>
      </c>
      <c r="E64" s="328">
        <v>1000000</v>
      </c>
      <c r="F64" s="328">
        <v>1000000</v>
      </c>
      <c r="G64" s="328">
        <v>1000000</v>
      </c>
      <c r="H64" s="329">
        <v>1000000</v>
      </c>
      <c r="I64" s="330">
        <f>D64*I60</f>
        <v>0</v>
      </c>
      <c r="J64" s="331">
        <f>E64*J60</f>
        <v>0</v>
      </c>
      <c r="K64" s="331">
        <f>F64*K60</f>
        <v>0</v>
      </c>
      <c r="L64" s="331">
        <f>G64*L60</f>
        <v>0</v>
      </c>
      <c r="M64" s="332">
        <f>H64*M60</f>
        <v>0</v>
      </c>
      <c r="N64" s="374">
        <v>5.6529804659012148</v>
      </c>
      <c r="O64" s="334">
        <v>1</v>
      </c>
      <c r="P64" s="334">
        <v>1</v>
      </c>
      <c r="Q64" s="334">
        <v>1</v>
      </c>
      <c r="R64" s="334">
        <v>1</v>
      </c>
      <c r="S64" s="335">
        <v>1</v>
      </c>
      <c r="T64" s="336">
        <v>1</v>
      </c>
      <c r="U64" s="337">
        <v>1</v>
      </c>
      <c r="V64" s="337">
        <v>1</v>
      </c>
      <c r="W64" s="337">
        <v>1</v>
      </c>
      <c r="X64" s="337">
        <v>1</v>
      </c>
      <c r="Y64" s="338">
        <v>1</v>
      </c>
      <c r="Z64" s="336">
        <v>0</v>
      </c>
      <c r="AA64" s="337">
        <v>0</v>
      </c>
      <c r="AB64" s="337">
        <v>0</v>
      </c>
      <c r="AC64" s="337">
        <v>0</v>
      </c>
      <c r="AD64" s="337">
        <v>0</v>
      </c>
      <c r="AE64" s="338">
        <v>0</v>
      </c>
    </row>
    <row r="65" spans="2:31" x14ac:dyDescent="0.2">
      <c r="B65" s="300">
        <v>2011</v>
      </c>
      <c r="C65" s="339">
        <f t="shared" si="28"/>
        <v>72485</v>
      </c>
      <c r="D65" s="340">
        <v>1000000</v>
      </c>
      <c r="E65" s="340">
        <v>1000000</v>
      </c>
      <c r="F65" s="340">
        <v>1000000</v>
      </c>
      <c r="G65" s="340">
        <v>1000000</v>
      </c>
      <c r="H65" s="341">
        <v>1000000</v>
      </c>
      <c r="I65" s="304">
        <f>D65*I60</f>
        <v>0</v>
      </c>
      <c r="J65" s="305">
        <f>E65*J60</f>
        <v>0</v>
      </c>
      <c r="K65" s="305">
        <f>F65*K60</f>
        <v>0</v>
      </c>
      <c r="L65" s="305">
        <f>G65*L60</f>
        <v>0</v>
      </c>
      <c r="M65" s="306">
        <f>H65*M60</f>
        <v>0</v>
      </c>
      <c r="N65" s="375">
        <v>5.7697883792198912</v>
      </c>
      <c r="O65" s="343">
        <v>1</v>
      </c>
      <c r="P65" s="343">
        <v>1</v>
      </c>
      <c r="Q65" s="343">
        <v>1</v>
      </c>
      <c r="R65" s="343">
        <v>1</v>
      </c>
      <c r="S65" s="344">
        <v>1</v>
      </c>
      <c r="T65" s="345">
        <v>1</v>
      </c>
      <c r="U65" s="346">
        <v>1</v>
      </c>
      <c r="V65" s="346">
        <v>1</v>
      </c>
      <c r="W65" s="346">
        <v>1</v>
      </c>
      <c r="X65" s="346">
        <v>1</v>
      </c>
      <c r="Y65" s="347">
        <v>1</v>
      </c>
      <c r="Z65" s="345">
        <v>0</v>
      </c>
      <c r="AA65" s="346">
        <v>0</v>
      </c>
      <c r="AB65" s="346">
        <v>0</v>
      </c>
      <c r="AC65" s="346">
        <v>0</v>
      </c>
      <c r="AD65" s="346">
        <v>0</v>
      </c>
      <c r="AE65" s="347">
        <v>0</v>
      </c>
    </row>
    <row r="66" spans="2:31" x14ac:dyDescent="0.2">
      <c r="B66" s="313">
        <v>2012</v>
      </c>
      <c r="C66" s="314">
        <f t="shared" si="28"/>
        <v>72485</v>
      </c>
      <c r="D66" s="315">
        <v>1000000</v>
      </c>
      <c r="E66" s="315">
        <v>1000000</v>
      </c>
      <c r="F66" s="315">
        <v>1000000</v>
      </c>
      <c r="G66" s="315">
        <v>1000000</v>
      </c>
      <c r="H66" s="316">
        <v>1000000</v>
      </c>
      <c r="I66" s="317">
        <f>D66*I60</f>
        <v>0</v>
      </c>
      <c r="J66" s="318">
        <f>E66*J60</f>
        <v>0</v>
      </c>
      <c r="K66" s="318">
        <f>F66*K60</f>
        <v>0</v>
      </c>
      <c r="L66" s="318">
        <f>G66*L60</f>
        <v>0</v>
      </c>
      <c r="M66" s="319">
        <f>H66*M60</f>
        <v>0</v>
      </c>
      <c r="N66" s="372">
        <v>5.8156338758937807</v>
      </c>
      <c r="O66" s="321">
        <v>1</v>
      </c>
      <c r="P66" s="321">
        <v>1</v>
      </c>
      <c r="Q66" s="321">
        <v>1</v>
      </c>
      <c r="R66" s="321">
        <v>1</v>
      </c>
      <c r="S66" s="322">
        <v>1</v>
      </c>
      <c r="T66" s="323">
        <v>1</v>
      </c>
      <c r="U66" s="324">
        <v>1</v>
      </c>
      <c r="V66" s="324">
        <v>1</v>
      </c>
      <c r="W66" s="324">
        <v>1</v>
      </c>
      <c r="X66" s="324">
        <v>1</v>
      </c>
      <c r="Y66" s="325">
        <v>1</v>
      </c>
      <c r="Z66" s="323">
        <v>0</v>
      </c>
      <c r="AA66" s="324">
        <v>0</v>
      </c>
      <c r="AB66" s="324">
        <v>0</v>
      </c>
      <c r="AC66" s="324">
        <v>0</v>
      </c>
      <c r="AD66" s="324">
        <v>0</v>
      </c>
      <c r="AE66" s="325">
        <v>0</v>
      </c>
    </row>
    <row r="67" spans="2:31" x14ac:dyDescent="0.2">
      <c r="B67" s="313">
        <v>2013</v>
      </c>
      <c r="C67" s="314">
        <f t="shared" si="28"/>
        <v>72485</v>
      </c>
      <c r="D67" s="315">
        <v>1000000</v>
      </c>
      <c r="E67" s="315">
        <v>1000000</v>
      </c>
      <c r="F67" s="315">
        <v>1000000</v>
      </c>
      <c r="G67" s="315">
        <v>1000000</v>
      </c>
      <c r="H67" s="316">
        <v>1000000</v>
      </c>
      <c r="I67" s="317">
        <f>D67*I60</f>
        <v>0</v>
      </c>
      <c r="J67" s="318">
        <f>E67*J60</f>
        <v>0</v>
      </c>
      <c r="K67" s="318">
        <f>F67*K60</f>
        <v>0</v>
      </c>
      <c r="L67" s="318">
        <f>G67*L60</f>
        <v>0</v>
      </c>
      <c r="M67" s="319">
        <f>H67*M60</f>
        <v>0</v>
      </c>
      <c r="N67" s="372">
        <v>5.9244625288706905</v>
      </c>
      <c r="O67" s="321">
        <v>1</v>
      </c>
      <c r="P67" s="321">
        <v>1</v>
      </c>
      <c r="Q67" s="321">
        <v>1</v>
      </c>
      <c r="R67" s="321">
        <v>1</v>
      </c>
      <c r="S67" s="322">
        <v>1</v>
      </c>
      <c r="T67" s="323">
        <v>1</v>
      </c>
      <c r="U67" s="324">
        <v>1</v>
      </c>
      <c r="V67" s="324">
        <v>1</v>
      </c>
      <c r="W67" s="324">
        <v>1</v>
      </c>
      <c r="X67" s="324">
        <v>1</v>
      </c>
      <c r="Y67" s="325">
        <v>1</v>
      </c>
      <c r="Z67" s="323">
        <v>0</v>
      </c>
      <c r="AA67" s="324">
        <v>0</v>
      </c>
      <c r="AB67" s="324">
        <v>0</v>
      </c>
      <c r="AC67" s="324">
        <v>0</v>
      </c>
      <c r="AD67" s="324">
        <v>0</v>
      </c>
      <c r="AE67" s="325">
        <v>0</v>
      </c>
    </row>
    <row r="68" spans="2:31" x14ac:dyDescent="0.2">
      <c r="B68" s="313">
        <v>2014</v>
      </c>
      <c r="C68" s="314">
        <f t="shared" si="28"/>
        <v>72485</v>
      </c>
      <c r="D68" s="315">
        <v>1000000</v>
      </c>
      <c r="E68" s="315">
        <v>1000000</v>
      </c>
      <c r="F68" s="315">
        <v>1000000</v>
      </c>
      <c r="G68" s="315">
        <v>1000000</v>
      </c>
      <c r="H68" s="316">
        <v>1000000</v>
      </c>
      <c r="I68" s="317">
        <f>D68*I60</f>
        <v>0</v>
      </c>
      <c r="J68" s="318">
        <f>E68*J60</f>
        <v>0</v>
      </c>
      <c r="K68" s="318">
        <f>F68*K60</f>
        <v>0</v>
      </c>
      <c r="L68" s="318">
        <f>G68*L60</f>
        <v>0</v>
      </c>
      <c r="M68" s="319">
        <f>H68*M60</f>
        <v>0</v>
      </c>
      <c r="N68" s="372">
        <v>6.0583595281689906</v>
      </c>
      <c r="O68" s="321">
        <v>1</v>
      </c>
      <c r="P68" s="321">
        <v>1</v>
      </c>
      <c r="Q68" s="321">
        <v>1</v>
      </c>
      <c r="R68" s="321">
        <v>1</v>
      </c>
      <c r="S68" s="322">
        <v>1</v>
      </c>
      <c r="T68" s="323">
        <v>1</v>
      </c>
      <c r="U68" s="324">
        <v>1</v>
      </c>
      <c r="V68" s="324">
        <v>1</v>
      </c>
      <c r="W68" s="324">
        <v>1</v>
      </c>
      <c r="X68" s="324">
        <v>1</v>
      </c>
      <c r="Y68" s="325">
        <v>1</v>
      </c>
      <c r="Z68" s="323">
        <v>0</v>
      </c>
      <c r="AA68" s="324">
        <v>0</v>
      </c>
      <c r="AB68" s="324">
        <v>0</v>
      </c>
      <c r="AC68" s="324">
        <v>0</v>
      </c>
      <c r="AD68" s="324">
        <v>0</v>
      </c>
      <c r="AE68" s="325">
        <v>0</v>
      </c>
    </row>
    <row r="69" spans="2:31" ht="15" thickBot="1" x14ac:dyDescent="0.25">
      <c r="B69" s="326">
        <v>2015</v>
      </c>
      <c r="C69" s="327">
        <f t="shared" si="28"/>
        <v>72485</v>
      </c>
      <c r="D69" s="328">
        <v>1000000</v>
      </c>
      <c r="E69" s="328">
        <v>1000000</v>
      </c>
      <c r="F69" s="328">
        <v>1000000</v>
      </c>
      <c r="G69" s="328">
        <v>1000000</v>
      </c>
      <c r="H69" s="329">
        <v>1000000</v>
      </c>
      <c r="I69" s="330">
        <f>D69*I60</f>
        <v>0</v>
      </c>
      <c r="J69" s="331">
        <f>E69*J60</f>
        <v>0</v>
      </c>
      <c r="K69" s="331">
        <f>F69*K60</f>
        <v>0</v>
      </c>
      <c r="L69" s="331">
        <f>G69*L60</f>
        <v>0</v>
      </c>
      <c r="M69" s="332">
        <f>H69*M60</f>
        <v>0</v>
      </c>
      <c r="N69" s="374">
        <v>6.1703756815216178</v>
      </c>
      <c r="O69" s="334">
        <v>1</v>
      </c>
      <c r="P69" s="334">
        <v>1</v>
      </c>
      <c r="Q69" s="348">
        <v>1</v>
      </c>
      <c r="R69" s="348">
        <v>1</v>
      </c>
      <c r="S69" s="349">
        <v>1</v>
      </c>
      <c r="T69" s="336">
        <v>1</v>
      </c>
      <c r="U69" s="337">
        <v>1</v>
      </c>
      <c r="V69" s="337">
        <v>1</v>
      </c>
      <c r="W69" s="337">
        <v>1</v>
      </c>
      <c r="X69" s="337">
        <v>1</v>
      </c>
      <c r="Y69" s="338">
        <v>1</v>
      </c>
      <c r="Z69" s="336">
        <v>0</v>
      </c>
      <c r="AA69" s="337">
        <v>0</v>
      </c>
      <c r="AB69" s="337">
        <v>0</v>
      </c>
      <c r="AC69" s="337">
        <v>0</v>
      </c>
      <c r="AD69" s="337">
        <v>0</v>
      </c>
      <c r="AE69" s="338">
        <v>0</v>
      </c>
    </row>
    <row r="70" spans="2:31" x14ac:dyDescent="0.2">
      <c r="B70" s="300">
        <v>2016</v>
      </c>
      <c r="C70" s="339">
        <f t="shared" si="28"/>
        <v>72485</v>
      </c>
      <c r="D70" s="340">
        <v>1000000</v>
      </c>
      <c r="E70" s="340">
        <v>1000000</v>
      </c>
      <c r="F70" s="340">
        <v>1000000</v>
      </c>
      <c r="G70" s="340">
        <v>1000000</v>
      </c>
      <c r="H70" s="341">
        <v>1000000</v>
      </c>
      <c r="I70" s="304">
        <f>D70*I60</f>
        <v>0</v>
      </c>
      <c r="J70" s="305">
        <f>E70*J60</f>
        <v>0</v>
      </c>
      <c r="K70" s="305">
        <f>F70*K60</f>
        <v>0</v>
      </c>
      <c r="L70" s="305">
        <f>G70*L60</f>
        <v>0</v>
      </c>
      <c r="M70" s="306">
        <f>H70*M60</f>
        <v>0</v>
      </c>
      <c r="N70" s="375">
        <v>6.2992037959414615</v>
      </c>
      <c r="O70" s="321">
        <v>1</v>
      </c>
      <c r="P70" s="321">
        <v>1</v>
      </c>
      <c r="Q70" s="350">
        <v>1</v>
      </c>
      <c r="R70" s="350">
        <v>1</v>
      </c>
      <c r="S70" s="351">
        <v>1</v>
      </c>
      <c r="T70" s="345">
        <v>1</v>
      </c>
      <c r="U70" s="346">
        <v>1</v>
      </c>
      <c r="V70" s="346">
        <v>1</v>
      </c>
      <c r="W70" s="346">
        <v>1</v>
      </c>
      <c r="X70" s="346">
        <v>1</v>
      </c>
      <c r="Y70" s="347">
        <v>1</v>
      </c>
      <c r="Z70" s="345">
        <v>0</v>
      </c>
      <c r="AA70" s="346">
        <v>0</v>
      </c>
      <c r="AB70" s="346">
        <v>0</v>
      </c>
      <c r="AC70" s="346">
        <v>0</v>
      </c>
      <c r="AD70" s="346">
        <v>0</v>
      </c>
      <c r="AE70" s="347">
        <v>0</v>
      </c>
    </row>
    <row r="71" spans="2:31" x14ac:dyDescent="0.2">
      <c r="B71" s="313">
        <v>2017</v>
      </c>
      <c r="C71" s="314">
        <f t="shared" si="28"/>
        <v>72485</v>
      </c>
      <c r="D71" s="315">
        <v>1000000</v>
      </c>
      <c r="E71" s="315">
        <v>1000000</v>
      </c>
      <c r="F71" s="315">
        <v>1000000</v>
      </c>
      <c r="G71" s="315">
        <v>1000000</v>
      </c>
      <c r="H71" s="316">
        <v>1000000</v>
      </c>
      <c r="I71" s="317">
        <f>D71*I60</f>
        <v>0</v>
      </c>
      <c r="J71" s="318">
        <f>E71*J60</f>
        <v>0</v>
      </c>
      <c r="K71" s="318">
        <f>F71*K60</f>
        <v>0</v>
      </c>
      <c r="L71" s="318">
        <f>G71*L60</f>
        <v>0</v>
      </c>
      <c r="M71" s="319">
        <f>H71*M60</f>
        <v>0</v>
      </c>
      <c r="N71" s="372">
        <v>6.429880170141046</v>
      </c>
      <c r="O71" s="321">
        <v>1</v>
      </c>
      <c r="P71" s="321">
        <v>1</v>
      </c>
      <c r="Q71" s="350">
        <v>1</v>
      </c>
      <c r="R71" s="350">
        <v>1</v>
      </c>
      <c r="S71" s="351">
        <v>1</v>
      </c>
      <c r="T71" s="323">
        <v>1</v>
      </c>
      <c r="U71" s="324">
        <v>1</v>
      </c>
      <c r="V71" s="324">
        <v>1</v>
      </c>
      <c r="W71" s="324">
        <v>1</v>
      </c>
      <c r="X71" s="324">
        <v>1</v>
      </c>
      <c r="Y71" s="325">
        <v>1</v>
      </c>
      <c r="Z71" s="323">
        <v>0</v>
      </c>
      <c r="AA71" s="324">
        <v>0</v>
      </c>
      <c r="AB71" s="324">
        <v>0</v>
      </c>
      <c r="AC71" s="324">
        <v>0</v>
      </c>
      <c r="AD71" s="324">
        <v>0</v>
      </c>
      <c r="AE71" s="325">
        <v>0</v>
      </c>
    </row>
    <row r="72" spans="2:31" x14ac:dyDescent="0.2">
      <c r="B72" s="313">
        <v>2018</v>
      </c>
      <c r="C72" s="314">
        <f t="shared" si="28"/>
        <v>72485</v>
      </c>
      <c r="D72" s="315">
        <v>1000000</v>
      </c>
      <c r="E72" s="315">
        <v>1000000</v>
      </c>
      <c r="F72" s="315">
        <v>1000000</v>
      </c>
      <c r="G72" s="315">
        <v>1000000</v>
      </c>
      <c r="H72" s="316">
        <v>1000000</v>
      </c>
      <c r="I72" s="317">
        <f>D72*I60</f>
        <v>0</v>
      </c>
      <c r="J72" s="318">
        <f>E72*J60</f>
        <v>0</v>
      </c>
      <c r="K72" s="318">
        <f>F72*K60</f>
        <v>0</v>
      </c>
      <c r="L72" s="318">
        <f>G72*L60</f>
        <v>0</v>
      </c>
      <c r="M72" s="319">
        <f>H72*M60</f>
        <v>0</v>
      </c>
      <c r="N72" s="372">
        <v>6.3927777584473002</v>
      </c>
      <c r="O72" s="321">
        <v>1</v>
      </c>
      <c r="P72" s="321">
        <v>1</v>
      </c>
      <c r="Q72" s="350">
        <v>1</v>
      </c>
      <c r="R72" s="350">
        <v>1</v>
      </c>
      <c r="S72" s="351">
        <v>1</v>
      </c>
      <c r="T72" s="323">
        <v>1</v>
      </c>
      <c r="U72" s="324">
        <v>1</v>
      </c>
      <c r="V72" s="324">
        <v>1</v>
      </c>
      <c r="W72" s="324">
        <v>1</v>
      </c>
      <c r="X72" s="324">
        <v>1</v>
      </c>
      <c r="Y72" s="325">
        <v>1</v>
      </c>
      <c r="Z72" s="323">
        <v>0</v>
      </c>
      <c r="AA72" s="324">
        <v>0</v>
      </c>
      <c r="AB72" s="324">
        <v>0</v>
      </c>
      <c r="AC72" s="324">
        <v>0</v>
      </c>
      <c r="AD72" s="324">
        <v>0</v>
      </c>
      <c r="AE72" s="325">
        <v>0</v>
      </c>
    </row>
    <row r="73" spans="2:31" x14ac:dyDescent="0.2">
      <c r="B73" s="313">
        <v>2019</v>
      </c>
      <c r="C73" s="314">
        <f t="shared" si="28"/>
        <v>72485</v>
      </c>
      <c r="D73" s="315">
        <v>1000000</v>
      </c>
      <c r="E73" s="315">
        <v>1000000</v>
      </c>
      <c r="F73" s="315">
        <v>1000000</v>
      </c>
      <c r="G73" s="315">
        <v>1000000</v>
      </c>
      <c r="H73" s="316">
        <v>1000000</v>
      </c>
      <c r="I73" s="317">
        <f>D73*I60</f>
        <v>0</v>
      </c>
      <c r="J73" s="318">
        <f>E73*J60</f>
        <v>0</v>
      </c>
      <c r="K73" s="318">
        <f>F73*K60</f>
        <v>0</v>
      </c>
      <c r="L73" s="318">
        <f>G73*L60</f>
        <v>0</v>
      </c>
      <c r="M73" s="319">
        <f>H73*M60</f>
        <v>0</v>
      </c>
      <c r="N73" s="372">
        <v>6.4333520263174488</v>
      </c>
      <c r="O73" s="321">
        <v>1</v>
      </c>
      <c r="P73" s="321">
        <v>1</v>
      </c>
      <c r="Q73" s="350">
        <v>1</v>
      </c>
      <c r="R73" s="350">
        <v>1</v>
      </c>
      <c r="S73" s="351">
        <v>1</v>
      </c>
      <c r="T73" s="323">
        <v>1</v>
      </c>
      <c r="U73" s="324">
        <v>1</v>
      </c>
      <c r="V73" s="324">
        <v>1</v>
      </c>
      <c r="W73" s="324">
        <v>1</v>
      </c>
      <c r="X73" s="324">
        <v>1</v>
      </c>
      <c r="Y73" s="325">
        <v>1</v>
      </c>
      <c r="Z73" s="323">
        <v>0</v>
      </c>
      <c r="AA73" s="324">
        <v>0</v>
      </c>
      <c r="AB73" s="324">
        <v>0</v>
      </c>
      <c r="AC73" s="324">
        <v>0</v>
      </c>
      <c r="AD73" s="324">
        <v>0</v>
      </c>
      <c r="AE73" s="325">
        <v>0</v>
      </c>
    </row>
    <row r="74" spans="2:31" ht="15" thickBot="1" x14ac:dyDescent="0.25">
      <c r="B74" s="326">
        <v>2020</v>
      </c>
      <c r="C74" s="327">
        <f>C75</f>
        <v>72485</v>
      </c>
      <c r="D74" s="328">
        <v>1000000</v>
      </c>
      <c r="E74" s="328">
        <v>1000000</v>
      </c>
      <c r="F74" s="328">
        <v>1000000</v>
      </c>
      <c r="G74" s="328">
        <v>1000000</v>
      </c>
      <c r="H74" s="329">
        <v>1000000</v>
      </c>
      <c r="I74" s="330">
        <f>D74*I60</f>
        <v>0</v>
      </c>
      <c r="J74" s="331">
        <f>E74*J60</f>
        <v>0</v>
      </c>
      <c r="K74" s="331">
        <f>F74*K60</f>
        <v>0</v>
      </c>
      <c r="L74" s="331">
        <f>G74*L60</f>
        <v>0</v>
      </c>
      <c r="M74" s="332">
        <f>H74*M60</f>
        <v>0</v>
      </c>
      <c r="N74" s="374">
        <v>6.4864337636120455</v>
      </c>
      <c r="O74" s="334">
        <v>1</v>
      </c>
      <c r="P74" s="334">
        <v>1</v>
      </c>
      <c r="Q74" s="348">
        <v>1</v>
      </c>
      <c r="R74" s="348">
        <v>1</v>
      </c>
      <c r="S74" s="349">
        <v>1</v>
      </c>
      <c r="T74" s="336">
        <v>1</v>
      </c>
      <c r="U74" s="337">
        <v>1</v>
      </c>
      <c r="V74" s="337">
        <v>1</v>
      </c>
      <c r="W74" s="337">
        <v>1</v>
      </c>
      <c r="X74" s="337">
        <v>1</v>
      </c>
      <c r="Y74" s="338">
        <v>1</v>
      </c>
      <c r="Z74" s="336">
        <v>0</v>
      </c>
      <c r="AA74" s="337">
        <v>0</v>
      </c>
      <c r="AB74" s="337">
        <v>0</v>
      </c>
      <c r="AC74" s="337">
        <v>0</v>
      </c>
      <c r="AD74" s="337">
        <v>0</v>
      </c>
      <c r="AE74" s="338">
        <v>0</v>
      </c>
    </row>
    <row r="75" spans="2:31" x14ac:dyDescent="0.2">
      <c r="B75" s="300">
        <v>2021</v>
      </c>
      <c r="C75" s="339">
        <f>AC6</f>
        <v>72485</v>
      </c>
      <c r="D75" s="340">
        <f>AD6</f>
        <v>0</v>
      </c>
      <c r="E75" s="340">
        <f t="shared" ref="E75:H75" si="29">AE6</f>
        <v>9418</v>
      </c>
      <c r="F75" s="340">
        <f t="shared" si="29"/>
        <v>136424</v>
      </c>
      <c r="G75" s="340">
        <f t="shared" si="29"/>
        <v>65531</v>
      </c>
      <c r="H75" s="341">
        <f t="shared" si="29"/>
        <v>0</v>
      </c>
      <c r="I75" s="304">
        <f>D75*I60</f>
        <v>0</v>
      </c>
      <c r="J75" s="305">
        <f>E75*J60</f>
        <v>0</v>
      </c>
      <c r="K75" s="305">
        <f>F75*K60</f>
        <v>0</v>
      </c>
      <c r="L75" s="305">
        <f>G75*L60</f>
        <v>0</v>
      </c>
      <c r="M75" s="306">
        <f>H75*M60</f>
        <v>0</v>
      </c>
      <c r="N75" s="375">
        <f>J6</f>
        <v>9.993194235359379</v>
      </c>
      <c r="O75" s="343">
        <f>MAX(K6,1)</f>
        <v>10.285810560110578</v>
      </c>
      <c r="P75" s="343">
        <f t="shared" ref="P75:S75" si="30">MAX(L6,1)</f>
        <v>17.044880892097616</v>
      </c>
      <c r="Q75" s="350">
        <f t="shared" si="30"/>
        <v>44.713329377402353</v>
      </c>
      <c r="R75" s="350">
        <f t="shared" si="30"/>
        <v>27.788557595555133</v>
      </c>
      <c r="S75" s="351">
        <f t="shared" si="30"/>
        <v>1</v>
      </c>
      <c r="T75" s="345">
        <v>1</v>
      </c>
      <c r="U75" s="346">
        <v>1</v>
      </c>
      <c r="V75" s="346">
        <v>1</v>
      </c>
      <c r="W75" s="346">
        <v>1</v>
      </c>
      <c r="X75" s="346">
        <v>1</v>
      </c>
      <c r="Y75" s="347">
        <f>MAX(P6,1)</f>
        <v>1</v>
      </c>
      <c r="Z75" s="345">
        <v>0</v>
      </c>
      <c r="AA75" s="346">
        <v>0</v>
      </c>
      <c r="AB75" s="346">
        <v>0</v>
      </c>
      <c r="AC75" s="346">
        <f>Q6</f>
        <v>177.9239457077002</v>
      </c>
      <c r="AD75" s="346">
        <f t="shared" ref="AD75:AE90" si="31">R6</f>
        <v>0</v>
      </c>
      <c r="AE75" s="347">
        <f>S6</f>
        <v>0</v>
      </c>
    </row>
    <row r="76" spans="2:31" x14ac:dyDescent="0.2">
      <c r="B76" s="313">
        <v>2022</v>
      </c>
      <c r="C76" s="314">
        <f t="shared" ref="C76:H91" si="32">AC7</f>
        <v>72545.271035851692</v>
      </c>
      <c r="D76" s="315">
        <f t="shared" si="32"/>
        <v>81.193194129489726</v>
      </c>
      <c r="E76" s="315">
        <f t="shared" si="32"/>
        <v>9013.9273235654528</v>
      </c>
      <c r="F76" s="315">
        <f t="shared" si="32"/>
        <v>128700.59753456876</v>
      </c>
      <c r="G76" s="315">
        <f t="shared" si="32"/>
        <v>62337.813671953212</v>
      </c>
      <c r="H76" s="316">
        <f t="shared" si="32"/>
        <v>0</v>
      </c>
      <c r="I76" s="317">
        <f>D76*I60</f>
        <v>0</v>
      </c>
      <c r="J76" s="318">
        <f>E76*J60</f>
        <v>0</v>
      </c>
      <c r="K76" s="318">
        <f>F76*K60</f>
        <v>0</v>
      </c>
      <c r="L76" s="318">
        <f>G76*L60</f>
        <v>0</v>
      </c>
      <c r="M76" s="319">
        <f>H76*M60</f>
        <v>0</v>
      </c>
      <c r="N76" s="372">
        <f t="shared" ref="N76:N104" si="33">J7</f>
        <v>10.175060148623018</v>
      </c>
      <c r="O76" s="321">
        <f t="shared" ref="O76:S91" si="34">MAX(K7,1)</f>
        <v>10.631043521169319</v>
      </c>
      <c r="P76" s="321">
        <f t="shared" si="34"/>
        <v>17.516523145039596</v>
      </c>
      <c r="Q76" s="352">
        <f t="shared" si="34"/>
        <v>45.652501422010587</v>
      </c>
      <c r="R76" s="352">
        <f t="shared" si="34"/>
        <v>28.480485173437739</v>
      </c>
      <c r="S76" s="353">
        <f t="shared" si="34"/>
        <v>1</v>
      </c>
      <c r="T76" s="323">
        <v>1</v>
      </c>
      <c r="U76" s="324">
        <v>1</v>
      </c>
      <c r="V76" s="324">
        <v>1</v>
      </c>
      <c r="W76" s="324">
        <v>1</v>
      </c>
      <c r="X76" s="324">
        <v>1</v>
      </c>
      <c r="Y76" s="325">
        <f t="shared" ref="Y76:Y104" si="35">MAX(P7,1)</f>
        <v>1</v>
      </c>
      <c r="Z76" s="323">
        <v>0</v>
      </c>
      <c r="AA76" s="324">
        <v>0</v>
      </c>
      <c r="AB76" s="324">
        <v>0</v>
      </c>
      <c r="AC76" s="324">
        <f t="shared" ref="AC76:AE91" si="36">Q7</f>
        <v>180.37491051886633</v>
      </c>
      <c r="AD76" s="324">
        <f t="shared" si="31"/>
        <v>0</v>
      </c>
      <c r="AE76" s="325">
        <f t="shared" si="31"/>
        <v>0</v>
      </c>
    </row>
    <row r="77" spans="2:31" x14ac:dyDescent="0.2">
      <c r="B77" s="313">
        <v>2023</v>
      </c>
      <c r="C77" s="314">
        <f t="shared" si="32"/>
        <v>72623.204213946534</v>
      </c>
      <c r="D77" s="315">
        <f t="shared" si="32"/>
        <v>149.93484241377578</v>
      </c>
      <c r="E77" s="315">
        <f t="shared" si="32"/>
        <v>8671.8220264089559</v>
      </c>
      <c r="F77" s="315">
        <f t="shared" si="32"/>
        <v>122161.63301261718</v>
      </c>
      <c r="G77" s="315">
        <f t="shared" si="32"/>
        <v>59634.324865752191</v>
      </c>
      <c r="H77" s="316">
        <f t="shared" si="32"/>
        <v>0</v>
      </c>
      <c r="I77" s="317">
        <f>D77*I60</f>
        <v>0</v>
      </c>
      <c r="J77" s="318">
        <f>E77*J60</f>
        <v>0</v>
      </c>
      <c r="K77" s="318">
        <f>F77*K60</f>
        <v>0</v>
      </c>
      <c r="L77" s="318">
        <f>G77*L60</f>
        <v>0</v>
      </c>
      <c r="M77" s="319">
        <f>H77*M60</f>
        <v>0</v>
      </c>
      <c r="N77" s="372">
        <f t="shared" si="33"/>
        <v>10.410221008353947</v>
      </c>
      <c r="O77" s="321">
        <f t="shared" si="34"/>
        <v>10.923332586031014</v>
      </c>
      <c r="P77" s="321">
        <f t="shared" si="34"/>
        <v>17.915835750182822</v>
      </c>
      <c r="Q77" s="352">
        <f t="shared" si="34"/>
        <v>46.447644845804582</v>
      </c>
      <c r="R77" s="352">
        <f t="shared" si="34"/>
        <v>29.066300803761958</v>
      </c>
      <c r="S77" s="353">
        <f t="shared" si="34"/>
        <v>1</v>
      </c>
      <c r="T77" s="323">
        <v>1</v>
      </c>
      <c r="U77" s="324">
        <v>1</v>
      </c>
      <c r="V77" s="324">
        <v>1</v>
      </c>
      <c r="W77" s="324">
        <v>1</v>
      </c>
      <c r="X77" s="324">
        <v>1</v>
      </c>
      <c r="Y77" s="325">
        <f t="shared" si="35"/>
        <v>1</v>
      </c>
      <c r="Z77" s="323">
        <v>0</v>
      </c>
      <c r="AA77" s="324">
        <v>0</v>
      </c>
      <c r="AB77" s="324">
        <v>0</v>
      </c>
      <c r="AC77" s="324">
        <f t="shared" si="36"/>
        <v>182.82587533003246</v>
      </c>
      <c r="AD77" s="324">
        <f t="shared" si="31"/>
        <v>0</v>
      </c>
      <c r="AE77" s="325">
        <f t="shared" si="31"/>
        <v>0</v>
      </c>
    </row>
    <row r="78" spans="2:31" x14ac:dyDescent="0.2">
      <c r="B78" s="313">
        <v>2024</v>
      </c>
      <c r="C78" s="314">
        <f t="shared" si="32"/>
        <v>72717.506607341507</v>
      </c>
      <c r="D78" s="315">
        <f t="shared" si="32"/>
        <v>246.72851965195215</v>
      </c>
      <c r="E78" s="315">
        <f t="shared" si="32"/>
        <v>8190.1107125124308</v>
      </c>
      <c r="F78" s="315">
        <f t="shared" si="32"/>
        <v>112954.25382973607</v>
      </c>
      <c r="G78" s="315">
        <f t="shared" si="32"/>
        <v>55827.598820396874</v>
      </c>
      <c r="H78" s="316">
        <f t="shared" si="32"/>
        <v>0</v>
      </c>
      <c r="I78" s="317">
        <f>D78*I60</f>
        <v>0</v>
      </c>
      <c r="J78" s="318">
        <f>E78*J60</f>
        <v>0</v>
      </c>
      <c r="K78" s="318">
        <f>F78*K60</f>
        <v>0</v>
      </c>
      <c r="L78" s="318">
        <f>G78*L60</f>
        <v>0</v>
      </c>
      <c r="M78" s="319">
        <f>H78*M60</f>
        <v>0</v>
      </c>
      <c r="N78" s="372">
        <f t="shared" si="33"/>
        <v>10.694775449062888</v>
      </c>
      <c r="O78" s="321">
        <f t="shared" si="34"/>
        <v>11.334898705124766</v>
      </c>
      <c r="P78" s="321">
        <f t="shared" si="34"/>
        <v>18.478099477981797</v>
      </c>
      <c r="Q78" s="352">
        <f t="shared" si="34"/>
        <v>47.56726967066303</v>
      </c>
      <c r="R78" s="352">
        <f t="shared" si="34"/>
        <v>29.891175540663543</v>
      </c>
      <c r="S78" s="353">
        <f t="shared" si="34"/>
        <v>1</v>
      </c>
      <c r="T78" s="323">
        <v>1</v>
      </c>
      <c r="U78" s="324">
        <v>1</v>
      </c>
      <c r="V78" s="324">
        <v>1</v>
      </c>
      <c r="W78" s="324">
        <v>1</v>
      </c>
      <c r="X78" s="324">
        <v>1</v>
      </c>
      <c r="Y78" s="325">
        <f t="shared" si="35"/>
        <v>1</v>
      </c>
      <c r="Z78" s="323">
        <v>0</v>
      </c>
      <c r="AA78" s="324">
        <v>0</v>
      </c>
      <c r="AB78" s="324">
        <v>0</v>
      </c>
      <c r="AC78" s="324">
        <f t="shared" si="36"/>
        <v>185.27684014119859</v>
      </c>
      <c r="AD78" s="324">
        <f t="shared" si="31"/>
        <v>0</v>
      </c>
      <c r="AE78" s="325">
        <f t="shared" si="31"/>
        <v>0</v>
      </c>
    </row>
    <row r="79" spans="2:31" ht="15" thickBot="1" x14ac:dyDescent="0.25">
      <c r="B79" s="326">
        <v>2025</v>
      </c>
      <c r="C79" s="327">
        <f t="shared" si="32"/>
        <v>72824.17464030438</v>
      </c>
      <c r="D79" s="328">
        <f t="shared" si="32"/>
        <v>352.035861368128</v>
      </c>
      <c r="E79" s="328">
        <f t="shared" si="32"/>
        <v>7666.0296011375058</v>
      </c>
      <c r="F79" s="328">
        <f t="shared" si="32"/>
        <v>102937.02281229888</v>
      </c>
      <c r="G79" s="328">
        <f t="shared" si="32"/>
        <v>51686.045240490246</v>
      </c>
      <c r="H79" s="329">
        <f t="shared" si="32"/>
        <v>0</v>
      </c>
      <c r="I79" s="330">
        <f>D79*I60</f>
        <v>0</v>
      </c>
      <c r="J79" s="331">
        <f>E79*J60</f>
        <v>0</v>
      </c>
      <c r="K79" s="331">
        <f>F79*K60</f>
        <v>0</v>
      </c>
      <c r="L79" s="331">
        <f>G79*L60</f>
        <v>0</v>
      </c>
      <c r="M79" s="332">
        <f>H79*M60</f>
        <v>0</v>
      </c>
      <c r="N79" s="374">
        <f t="shared" si="33"/>
        <v>11.01664280967314</v>
      </c>
      <c r="O79" s="334">
        <f t="shared" si="34"/>
        <v>11.782664873110706</v>
      </c>
      <c r="P79" s="334">
        <f t="shared" si="34"/>
        <v>19.089818137788889</v>
      </c>
      <c r="Q79" s="348">
        <f t="shared" si="34"/>
        <v>48.785373139706351</v>
      </c>
      <c r="R79" s="348">
        <f t="shared" si="34"/>
        <v>30.788603640003018</v>
      </c>
      <c r="S79" s="349">
        <f t="shared" si="34"/>
        <v>1</v>
      </c>
      <c r="T79" s="336">
        <v>1</v>
      </c>
      <c r="U79" s="337">
        <v>1</v>
      </c>
      <c r="V79" s="337">
        <v>1</v>
      </c>
      <c r="W79" s="337">
        <v>1</v>
      </c>
      <c r="X79" s="337">
        <v>1</v>
      </c>
      <c r="Y79" s="338">
        <f t="shared" si="35"/>
        <v>1</v>
      </c>
      <c r="Z79" s="336">
        <v>0</v>
      </c>
      <c r="AA79" s="337">
        <v>0</v>
      </c>
      <c r="AB79" s="337">
        <v>0</v>
      </c>
      <c r="AC79" s="337">
        <f t="shared" si="36"/>
        <v>187.72780495236472</v>
      </c>
      <c r="AD79" s="337">
        <f t="shared" si="31"/>
        <v>0</v>
      </c>
      <c r="AE79" s="338">
        <f t="shared" si="31"/>
        <v>0</v>
      </c>
    </row>
    <row r="80" spans="2:31" x14ac:dyDescent="0.2">
      <c r="B80" s="300">
        <v>2026</v>
      </c>
      <c r="C80" s="339">
        <f t="shared" si="32"/>
        <v>72929.100125884273</v>
      </c>
      <c r="D80" s="340">
        <f t="shared" si="32"/>
        <v>438.82315712478288</v>
      </c>
      <c r="E80" s="340">
        <f t="shared" si="32"/>
        <v>7234.116861986241</v>
      </c>
      <c r="F80" s="340">
        <f t="shared" si="32"/>
        <v>94681.488328139269</v>
      </c>
      <c r="G80" s="340">
        <f t="shared" si="32"/>
        <v>48272.852678853502</v>
      </c>
      <c r="H80" s="341">
        <f t="shared" si="32"/>
        <v>0</v>
      </c>
      <c r="I80" s="304">
        <f>D80*I60</f>
        <v>0</v>
      </c>
      <c r="J80" s="305">
        <f>E80*J60</f>
        <v>0</v>
      </c>
      <c r="K80" s="305">
        <f>F80*K60</f>
        <v>0</v>
      </c>
      <c r="L80" s="305">
        <f>G80*L60</f>
        <v>0</v>
      </c>
      <c r="M80" s="306">
        <f>H80*M60</f>
        <v>0</v>
      </c>
      <c r="N80" s="375">
        <f t="shared" si="33"/>
        <v>11.333252089569644</v>
      </c>
      <c r="O80" s="343">
        <f t="shared" si="34"/>
        <v>12.151683919812656</v>
      </c>
      <c r="P80" s="343">
        <f t="shared" si="34"/>
        <v>19.593955906185215</v>
      </c>
      <c r="Q80" s="350">
        <f t="shared" si="34"/>
        <v>49.789252872184989</v>
      </c>
      <c r="R80" s="350">
        <f t="shared" si="34"/>
        <v>31.528204095283947</v>
      </c>
      <c r="S80" s="351">
        <f t="shared" si="34"/>
        <v>1</v>
      </c>
      <c r="T80" s="345">
        <v>1</v>
      </c>
      <c r="U80" s="346">
        <v>1</v>
      </c>
      <c r="V80" s="346">
        <v>1</v>
      </c>
      <c r="W80" s="346">
        <v>1</v>
      </c>
      <c r="X80" s="346">
        <v>1</v>
      </c>
      <c r="Y80" s="347">
        <f t="shared" si="35"/>
        <v>1</v>
      </c>
      <c r="Z80" s="345">
        <v>0</v>
      </c>
      <c r="AA80" s="346">
        <v>0</v>
      </c>
      <c r="AB80" s="346">
        <v>0</v>
      </c>
      <c r="AC80" s="346">
        <f t="shared" si="36"/>
        <v>190.17876976353085</v>
      </c>
      <c r="AD80" s="346">
        <f t="shared" si="31"/>
        <v>0</v>
      </c>
      <c r="AE80" s="347">
        <f t="shared" si="31"/>
        <v>0</v>
      </c>
    </row>
    <row r="81" spans="2:31" x14ac:dyDescent="0.2">
      <c r="B81" s="313">
        <v>2027</v>
      </c>
      <c r="C81" s="314">
        <f t="shared" si="32"/>
        <v>73042.499999999985</v>
      </c>
      <c r="D81" s="315">
        <f t="shared" si="32"/>
        <v>557.50000000001455</v>
      </c>
      <c r="E81" s="315">
        <f t="shared" si="32"/>
        <v>6643.5000000000146</v>
      </c>
      <c r="F81" s="315">
        <f t="shared" si="32"/>
        <v>83392.500000000015</v>
      </c>
      <c r="G81" s="315">
        <f t="shared" si="32"/>
        <v>43605.500000000015</v>
      </c>
      <c r="H81" s="316">
        <f t="shared" si="32"/>
        <v>0</v>
      </c>
      <c r="I81" s="317">
        <f>D81*I60</f>
        <v>0</v>
      </c>
      <c r="J81" s="318">
        <f>E81*J60</f>
        <v>0</v>
      </c>
      <c r="K81" s="318">
        <f>F81*K60</f>
        <v>0</v>
      </c>
      <c r="L81" s="318">
        <f>G81*L60</f>
        <v>0</v>
      </c>
      <c r="M81" s="319">
        <f>H81*M60</f>
        <v>0</v>
      </c>
      <c r="N81" s="372">
        <f t="shared" si="33"/>
        <v>11.675432564462836</v>
      </c>
      <c r="O81" s="321">
        <f t="shared" si="34"/>
        <v>12.656297124332939</v>
      </c>
      <c r="P81" s="321">
        <f t="shared" si="34"/>
        <v>20.283336514323977</v>
      </c>
      <c r="Q81" s="352">
        <f t="shared" si="34"/>
        <v>51.162003068377835</v>
      </c>
      <c r="R81" s="352">
        <f t="shared" si="34"/>
        <v>32.539566948067545</v>
      </c>
      <c r="S81" s="353">
        <f t="shared" si="34"/>
        <v>1</v>
      </c>
      <c r="T81" s="323">
        <v>1</v>
      </c>
      <c r="U81" s="324">
        <v>1</v>
      </c>
      <c r="V81" s="324">
        <v>1</v>
      </c>
      <c r="W81" s="324">
        <v>1</v>
      </c>
      <c r="X81" s="324">
        <v>1</v>
      </c>
      <c r="Y81" s="325">
        <f t="shared" si="35"/>
        <v>1</v>
      </c>
      <c r="Z81" s="323">
        <v>0</v>
      </c>
      <c r="AA81" s="324">
        <v>0</v>
      </c>
      <c r="AB81" s="324">
        <v>0</v>
      </c>
      <c r="AC81" s="324">
        <f t="shared" si="36"/>
        <v>192.62973457469693</v>
      </c>
      <c r="AD81" s="324">
        <f t="shared" si="31"/>
        <v>0</v>
      </c>
      <c r="AE81" s="325">
        <f t="shared" si="31"/>
        <v>0</v>
      </c>
    </row>
    <row r="82" spans="2:31" x14ac:dyDescent="0.2">
      <c r="B82" s="313">
        <v>2028</v>
      </c>
      <c r="C82" s="314">
        <f t="shared" si="32"/>
        <v>73130.291515655073</v>
      </c>
      <c r="D82" s="315">
        <f t="shared" si="32"/>
        <v>436.13728488234477</v>
      </c>
      <c r="E82" s="315">
        <f t="shared" si="32"/>
        <v>5602.2610558445103</v>
      </c>
      <c r="F82" s="315">
        <f t="shared" si="32"/>
        <v>69945.688336809602</v>
      </c>
      <c r="G82" s="315">
        <f t="shared" si="32"/>
        <v>40994.872836118542</v>
      </c>
      <c r="H82" s="316">
        <f t="shared" si="32"/>
        <v>0</v>
      </c>
      <c r="I82" s="317">
        <f>D82*I60</f>
        <v>0</v>
      </c>
      <c r="J82" s="318">
        <f>E82*J60</f>
        <v>0</v>
      </c>
      <c r="K82" s="318">
        <f>F82*K60</f>
        <v>0</v>
      </c>
      <c r="L82" s="318">
        <f>G82*L60</f>
        <v>0</v>
      </c>
      <c r="M82" s="319">
        <f>H82*M60</f>
        <v>0</v>
      </c>
      <c r="N82" s="372">
        <f t="shared" si="33"/>
        <v>11.84954821073023</v>
      </c>
      <c r="O82" s="321">
        <f t="shared" si="34"/>
        <v>12.983836131881741</v>
      </c>
      <c r="P82" s="321">
        <f t="shared" si="34"/>
        <v>21.221309706749029</v>
      </c>
      <c r="Q82" s="352">
        <f t="shared" si="34"/>
        <v>53.146681254626728</v>
      </c>
      <c r="R82" s="352">
        <f t="shared" si="34"/>
        <v>33.752172811158239</v>
      </c>
      <c r="S82" s="353">
        <f t="shared" si="34"/>
        <v>1</v>
      </c>
      <c r="T82" s="323">
        <v>1</v>
      </c>
      <c r="U82" s="324">
        <v>1</v>
      </c>
      <c r="V82" s="324">
        <v>1</v>
      </c>
      <c r="W82" s="324">
        <v>1</v>
      </c>
      <c r="X82" s="324">
        <v>1</v>
      </c>
      <c r="Y82" s="325">
        <f t="shared" si="35"/>
        <v>1</v>
      </c>
      <c r="Z82" s="323">
        <v>0</v>
      </c>
      <c r="AA82" s="324">
        <v>0</v>
      </c>
      <c r="AB82" s="324">
        <v>0</v>
      </c>
      <c r="AC82" s="324">
        <f t="shared" si="36"/>
        <v>194.12457062894123</v>
      </c>
      <c r="AD82" s="324">
        <f t="shared" si="31"/>
        <v>0</v>
      </c>
      <c r="AE82" s="325">
        <f t="shared" si="31"/>
        <v>0</v>
      </c>
    </row>
    <row r="83" spans="2:31" x14ac:dyDescent="0.2">
      <c r="B83" s="313">
        <v>2029</v>
      </c>
      <c r="C83" s="314">
        <f t="shared" si="32"/>
        <v>73282.627177523478</v>
      </c>
      <c r="D83" s="315">
        <f t="shared" si="32"/>
        <v>352.44947641149122</v>
      </c>
      <c r="E83" s="315">
        <f t="shared" si="32"/>
        <v>4884.256310759567</v>
      </c>
      <c r="F83" s="315">
        <f t="shared" si="32"/>
        <v>60673.201330222597</v>
      </c>
      <c r="G83" s="315">
        <f t="shared" si="32"/>
        <v>39194.668664121513</v>
      </c>
      <c r="H83" s="316">
        <f t="shared" si="32"/>
        <v>0</v>
      </c>
      <c r="I83" s="317">
        <f>D83*I60</f>
        <v>0</v>
      </c>
      <c r="J83" s="318">
        <f>E83*J60</f>
        <v>0</v>
      </c>
      <c r="K83" s="318">
        <f>F83*K60</f>
        <v>0</v>
      </c>
      <c r="L83" s="318">
        <f>G83*L60</f>
        <v>0</v>
      </c>
      <c r="M83" s="319">
        <f>H83*M60</f>
        <v>0</v>
      </c>
      <c r="N83" s="372">
        <f t="shared" si="33"/>
        <v>12.151673330884138</v>
      </c>
      <c r="O83" s="321">
        <f t="shared" si="34"/>
        <v>13.209696452359086</v>
      </c>
      <c r="P83" s="321">
        <f t="shared" si="34"/>
        <v>21.868105724804114</v>
      </c>
      <c r="Q83" s="352">
        <f t="shared" si="34"/>
        <v>54.515251229071005</v>
      </c>
      <c r="R83" s="352">
        <f t="shared" si="34"/>
        <v>34.588346648589066</v>
      </c>
      <c r="S83" s="353">
        <f t="shared" si="34"/>
        <v>1</v>
      </c>
      <c r="T83" s="323">
        <v>1</v>
      </c>
      <c r="U83" s="324">
        <v>1</v>
      </c>
      <c r="V83" s="324">
        <v>1</v>
      </c>
      <c r="W83" s="324">
        <v>1</v>
      </c>
      <c r="X83" s="324">
        <v>1</v>
      </c>
      <c r="Y83" s="325">
        <f t="shared" si="35"/>
        <v>1</v>
      </c>
      <c r="Z83" s="323">
        <v>0</v>
      </c>
      <c r="AA83" s="324">
        <v>0</v>
      </c>
      <c r="AB83" s="324">
        <v>0</v>
      </c>
      <c r="AC83" s="324">
        <f t="shared" si="36"/>
        <v>195.6194066831855</v>
      </c>
      <c r="AD83" s="324">
        <f t="shared" si="31"/>
        <v>0</v>
      </c>
      <c r="AE83" s="325">
        <f t="shared" si="31"/>
        <v>0</v>
      </c>
    </row>
    <row r="84" spans="2:31" ht="15" thickBot="1" x14ac:dyDescent="0.25">
      <c r="B84" s="326">
        <v>2030</v>
      </c>
      <c r="C84" s="327">
        <f t="shared" si="32"/>
        <v>73420.279108237562</v>
      </c>
      <c r="D84" s="328">
        <f t="shared" si="32"/>
        <v>282.75201816868855</v>
      </c>
      <c r="E84" s="328">
        <f t="shared" si="32"/>
        <v>4286.2826434706076</v>
      </c>
      <c r="F84" s="328">
        <f t="shared" si="32"/>
        <v>52950.824705034647</v>
      </c>
      <c r="G84" s="328">
        <f t="shared" si="32"/>
        <v>37695.410201044644</v>
      </c>
      <c r="H84" s="329">
        <f t="shared" si="32"/>
        <v>0</v>
      </c>
      <c r="I84" s="330">
        <f>D84*I60</f>
        <v>0</v>
      </c>
      <c r="J84" s="331">
        <f>E84*J60</f>
        <v>0</v>
      </c>
      <c r="K84" s="331">
        <f>F84*K60</f>
        <v>0</v>
      </c>
      <c r="L84" s="331">
        <f>G84*L60</f>
        <v>0</v>
      </c>
      <c r="M84" s="332">
        <f>H84*M60</f>
        <v>0</v>
      </c>
      <c r="N84" s="374">
        <f t="shared" si="33"/>
        <v>12.424676418909172</v>
      </c>
      <c r="O84" s="334">
        <f t="shared" si="34"/>
        <v>13.397799003289887</v>
      </c>
      <c r="P84" s="334">
        <f t="shared" si="34"/>
        <v>22.406774848583424</v>
      </c>
      <c r="Q84" s="348">
        <f t="shared" si="34"/>
        <v>55.655033120711813</v>
      </c>
      <c r="R84" s="348">
        <f t="shared" si="34"/>
        <v>35.284734714938743</v>
      </c>
      <c r="S84" s="349">
        <f t="shared" si="34"/>
        <v>1</v>
      </c>
      <c r="T84" s="336">
        <v>1</v>
      </c>
      <c r="U84" s="337">
        <v>1</v>
      </c>
      <c r="V84" s="337">
        <v>1</v>
      </c>
      <c r="W84" s="337">
        <v>1</v>
      </c>
      <c r="X84" s="337">
        <v>1</v>
      </c>
      <c r="Y84" s="338">
        <f t="shared" si="35"/>
        <v>1</v>
      </c>
      <c r="Z84" s="336">
        <v>0</v>
      </c>
      <c r="AA84" s="337">
        <v>0</v>
      </c>
      <c r="AB84" s="337">
        <v>0</v>
      </c>
      <c r="AC84" s="337">
        <f t="shared" si="36"/>
        <v>197.11424273742978</v>
      </c>
      <c r="AD84" s="337">
        <f t="shared" si="31"/>
        <v>0</v>
      </c>
      <c r="AE84" s="338">
        <f t="shared" si="31"/>
        <v>0</v>
      </c>
    </row>
    <row r="85" spans="2:31" x14ac:dyDescent="0.2">
      <c r="B85" s="300">
        <v>2031</v>
      </c>
      <c r="C85" s="339">
        <f t="shared" si="32"/>
        <v>73546.620234462345</v>
      </c>
      <c r="D85" s="340">
        <f t="shared" si="32"/>
        <v>243.48664854916927</v>
      </c>
      <c r="E85" s="340">
        <f t="shared" si="32"/>
        <v>3949.40296864739</v>
      </c>
      <c r="F85" s="340">
        <f t="shared" si="32"/>
        <v>48600.279072899575</v>
      </c>
      <c r="G85" s="340">
        <f t="shared" si="32"/>
        <v>36850.77484141897</v>
      </c>
      <c r="H85" s="341">
        <f t="shared" si="32"/>
        <v>0</v>
      </c>
      <c r="I85" s="304">
        <f>D85*I60</f>
        <v>0</v>
      </c>
      <c r="J85" s="305">
        <f>E85*J60</f>
        <v>0</v>
      </c>
      <c r="K85" s="305">
        <f>F85*K60</f>
        <v>0</v>
      </c>
      <c r="L85" s="305">
        <f>G85*L60</f>
        <v>0</v>
      </c>
      <c r="M85" s="306">
        <f>H85*M60</f>
        <v>0</v>
      </c>
      <c r="N85" s="375">
        <f t="shared" si="33"/>
        <v>12.675246951592575</v>
      </c>
      <c r="O85" s="343">
        <f t="shared" si="34"/>
        <v>13.503770101445895</v>
      </c>
      <c r="P85" s="343">
        <f t="shared" si="34"/>
        <v>22.710244197123135</v>
      </c>
      <c r="Q85" s="350">
        <f t="shared" si="34"/>
        <v>56.297150615226514</v>
      </c>
      <c r="R85" s="350">
        <f t="shared" si="34"/>
        <v>35.677057986306615</v>
      </c>
      <c r="S85" s="351">
        <f t="shared" si="34"/>
        <v>1</v>
      </c>
      <c r="T85" s="345">
        <v>1</v>
      </c>
      <c r="U85" s="346">
        <v>1</v>
      </c>
      <c r="V85" s="346">
        <v>1</v>
      </c>
      <c r="W85" s="346">
        <v>1</v>
      </c>
      <c r="X85" s="346">
        <v>1</v>
      </c>
      <c r="Y85" s="347">
        <f t="shared" si="35"/>
        <v>1</v>
      </c>
      <c r="Z85" s="345">
        <v>0</v>
      </c>
      <c r="AA85" s="346">
        <v>0</v>
      </c>
      <c r="AB85" s="346">
        <v>0</v>
      </c>
      <c r="AC85" s="346">
        <f t="shared" si="36"/>
        <v>198.60907879167405</v>
      </c>
      <c r="AD85" s="346">
        <f t="shared" si="31"/>
        <v>0</v>
      </c>
      <c r="AE85" s="347">
        <f t="shared" si="31"/>
        <v>0</v>
      </c>
    </row>
    <row r="86" spans="2:31" x14ac:dyDescent="0.2">
      <c r="B86" s="313">
        <v>2032</v>
      </c>
      <c r="C86" s="314">
        <f t="shared" si="32"/>
        <v>73559.965175846766</v>
      </c>
      <c r="D86" s="340">
        <f t="shared" si="32"/>
        <v>226.06119665921943</v>
      </c>
      <c r="E86" s="340">
        <f t="shared" si="32"/>
        <v>3799.9002230163992</v>
      </c>
      <c r="F86" s="340">
        <f t="shared" si="32"/>
        <v>46669.564442109157</v>
      </c>
      <c r="G86" s="340">
        <f t="shared" si="32"/>
        <v>36475.936836165827</v>
      </c>
      <c r="H86" s="341">
        <f t="shared" si="32"/>
        <v>0</v>
      </c>
      <c r="I86" s="317">
        <f>D86*I60</f>
        <v>0</v>
      </c>
      <c r="J86" s="318">
        <f>E86*J60</f>
        <v>0</v>
      </c>
      <c r="K86" s="318">
        <f>F86*K60</f>
        <v>0</v>
      </c>
      <c r="L86" s="318">
        <f>G86*L60</f>
        <v>0</v>
      </c>
      <c r="M86" s="319">
        <f>H86*M60</f>
        <v>0</v>
      </c>
      <c r="N86" s="375">
        <f t="shared" si="33"/>
        <v>12.701713781288014</v>
      </c>
      <c r="O86" s="321">
        <f t="shared" si="34"/>
        <v>13.550798673710364</v>
      </c>
      <c r="P86" s="321">
        <f t="shared" si="34"/>
        <v>22.844919881684227</v>
      </c>
      <c r="Q86" s="352">
        <f t="shared" si="34"/>
        <v>56.582113869533906</v>
      </c>
      <c r="R86" s="352">
        <f t="shared" si="34"/>
        <v>35.851165867036464</v>
      </c>
      <c r="S86" s="353">
        <f t="shared" si="34"/>
        <v>1</v>
      </c>
      <c r="T86" s="345">
        <v>1</v>
      </c>
      <c r="U86" s="346">
        <v>1</v>
      </c>
      <c r="V86" s="346">
        <v>1</v>
      </c>
      <c r="W86" s="346">
        <v>1</v>
      </c>
      <c r="X86" s="346">
        <v>1</v>
      </c>
      <c r="Y86" s="347">
        <f t="shared" si="35"/>
        <v>1</v>
      </c>
      <c r="Z86" s="345">
        <v>0</v>
      </c>
      <c r="AA86" s="346">
        <v>0</v>
      </c>
      <c r="AB86" s="346">
        <v>0</v>
      </c>
      <c r="AC86" s="346">
        <f t="shared" si="36"/>
        <v>200.10391484591833</v>
      </c>
      <c r="AD86" s="346">
        <f t="shared" si="31"/>
        <v>0</v>
      </c>
      <c r="AE86" s="347">
        <f t="shared" si="31"/>
        <v>0</v>
      </c>
    </row>
    <row r="87" spans="2:31" x14ac:dyDescent="0.2">
      <c r="B87" s="313">
        <v>2033</v>
      </c>
      <c r="C87" s="314">
        <f t="shared" si="32"/>
        <v>73573.310117231173</v>
      </c>
      <c r="D87" s="340">
        <f t="shared" si="32"/>
        <v>219.15398898211379</v>
      </c>
      <c r="E87" s="340">
        <f t="shared" si="32"/>
        <v>3740.6394062012923</v>
      </c>
      <c r="F87" s="340">
        <f t="shared" si="32"/>
        <v>45904.255915000736</v>
      </c>
      <c r="G87" s="340">
        <f t="shared" si="32"/>
        <v>36327.356244746639</v>
      </c>
      <c r="H87" s="341">
        <f t="shared" si="32"/>
        <v>0</v>
      </c>
      <c r="I87" s="317">
        <f>D87*I60</f>
        <v>0</v>
      </c>
      <c r="J87" s="318">
        <f>E87*J60</f>
        <v>0</v>
      </c>
      <c r="K87" s="318">
        <f>F87*K60</f>
        <v>0</v>
      </c>
      <c r="L87" s="318">
        <f>G87*L60</f>
        <v>0</v>
      </c>
      <c r="M87" s="319">
        <f>H87*M60</f>
        <v>0</v>
      </c>
      <c r="N87" s="375">
        <f t="shared" si="33"/>
        <v>12.728180610983452</v>
      </c>
      <c r="O87" s="321">
        <f t="shared" si="34"/>
        <v>13.569440148114584</v>
      </c>
      <c r="P87" s="321">
        <f t="shared" si="34"/>
        <v>22.898303456939246</v>
      </c>
      <c r="Q87" s="352">
        <f t="shared" si="34"/>
        <v>56.695069355008592</v>
      </c>
      <c r="R87" s="352">
        <f t="shared" si="34"/>
        <v>35.920179818468931</v>
      </c>
      <c r="S87" s="353">
        <f t="shared" si="34"/>
        <v>1</v>
      </c>
      <c r="T87" s="345">
        <v>1</v>
      </c>
      <c r="U87" s="346">
        <v>1</v>
      </c>
      <c r="V87" s="346">
        <v>1</v>
      </c>
      <c r="W87" s="346">
        <v>1</v>
      </c>
      <c r="X87" s="346">
        <v>1</v>
      </c>
      <c r="Y87" s="347">
        <f t="shared" si="35"/>
        <v>1</v>
      </c>
      <c r="Z87" s="345">
        <v>0</v>
      </c>
      <c r="AA87" s="346">
        <v>0</v>
      </c>
      <c r="AB87" s="346">
        <v>0</v>
      </c>
      <c r="AC87" s="346">
        <f t="shared" si="36"/>
        <v>201.5987509001626</v>
      </c>
      <c r="AD87" s="346">
        <f t="shared" si="31"/>
        <v>0</v>
      </c>
      <c r="AE87" s="347">
        <f t="shared" si="31"/>
        <v>0</v>
      </c>
    </row>
    <row r="88" spans="2:31" x14ac:dyDescent="0.2">
      <c r="B88" s="313">
        <v>2034</v>
      </c>
      <c r="C88" s="314">
        <f t="shared" si="32"/>
        <v>73586.655058615594</v>
      </c>
      <c r="D88" s="340">
        <f t="shared" si="32"/>
        <v>216.5399735576222</v>
      </c>
      <c r="E88" s="340">
        <f t="shared" si="32"/>
        <v>3718.2122986834261</v>
      </c>
      <c r="F88" s="340">
        <f t="shared" si="32"/>
        <v>45614.626822048012</v>
      </c>
      <c r="G88" s="340">
        <f t="shared" si="32"/>
        <v>36271.126292513218</v>
      </c>
      <c r="H88" s="341">
        <f t="shared" si="32"/>
        <v>0</v>
      </c>
      <c r="I88" s="317">
        <f>D88*I60</f>
        <v>0</v>
      </c>
      <c r="J88" s="318">
        <f>E88*J60</f>
        <v>0</v>
      </c>
      <c r="K88" s="318">
        <f>F88*K60</f>
        <v>0</v>
      </c>
      <c r="L88" s="318">
        <f>G88*L60</f>
        <v>0</v>
      </c>
      <c r="M88" s="319">
        <f>H88*M60</f>
        <v>0</v>
      </c>
      <c r="N88" s="375">
        <f t="shared" si="33"/>
        <v>12.754647440678891</v>
      </c>
      <c r="O88" s="321">
        <f t="shared" si="34"/>
        <v>13.576494967356433</v>
      </c>
      <c r="P88" s="321">
        <f t="shared" si="34"/>
        <v>22.918506337126804</v>
      </c>
      <c r="Q88" s="352">
        <f t="shared" si="34"/>
        <v>56.737817075232847</v>
      </c>
      <c r="R88" s="352">
        <f t="shared" si="34"/>
        <v>35.946297975325223</v>
      </c>
      <c r="S88" s="353">
        <f t="shared" si="34"/>
        <v>1</v>
      </c>
      <c r="T88" s="345">
        <v>1</v>
      </c>
      <c r="U88" s="346">
        <v>1</v>
      </c>
      <c r="V88" s="346">
        <v>1</v>
      </c>
      <c r="W88" s="346">
        <v>1</v>
      </c>
      <c r="X88" s="346">
        <v>1</v>
      </c>
      <c r="Y88" s="347">
        <f t="shared" si="35"/>
        <v>1</v>
      </c>
      <c r="Z88" s="345">
        <v>0</v>
      </c>
      <c r="AA88" s="346">
        <v>0</v>
      </c>
      <c r="AB88" s="346">
        <v>0</v>
      </c>
      <c r="AC88" s="346">
        <f t="shared" si="36"/>
        <v>203.09358695440687</v>
      </c>
      <c r="AD88" s="346">
        <f t="shared" si="31"/>
        <v>0</v>
      </c>
      <c r="AE88" s="347">
        <f t="shared" si="31"/>
        <v>0</v>
      </c>
    </row>
    <row r="89" spans="2:31" ht="15" thickBot="1" x14ac:dyDescent="0.25">
      <c r="B89" s="354">
        <v>2035</v>
      </c>
      <c r="C89" s="355">
        <f t="shared" si="32"/>
        <v>73600</v>
      </c>
      <c r="D89" s="356">
        <f t="shared" si="32"/>
        <v>215</v>
      </c>
      <c r="E89" s="356">
        <f t="shared" si="32"/>
        <v>3705</v>
      </c>
      <c r="F89" s="356">
        <f t="shared" si="32"/>
        <v>45444</v>
      </c>
      <c r="G89" s="356">
        <f t="shared" si="32"/>
        <v>36238</v>
      </c>
      <c r="H89" s="357">
        <f t="shared" si="32"/>
        <v>0</v>
      </c>
      <c r="I89" s="358">
        <f>D89*I60</f>
        <v>0</v>
      </c>
      <c r="J89" s="359">
        <f>E89*J60</f>
        <v>0</v>
      </c>
      <c r="K89" s="359">
        <f>F89*K60</f>
        <v>0</v>
      </c>
      <c r="L89" s="359">
        <f>G89*L60</f>
        <v>0</v>
      </c>
      <c r="M89" s="360">
        <f>H89*M60</f>
        <v>0</v>
      </c>
      <c r="N89" s="376">
        <f t="shared" si="33"/>
        <v>12.781114270374328</v>
      </c>
      <c r="O89" s="334">
        <f t="shared" si="34"/>
        <v>13.580651115397666</v>
      </c>
      <c r="P89" s="334">
        <f t="shared" si="34"/>
        <v>22.930408294929023</v>
      </c>
      <c r="Q89" s="348">
        <f t="shared" si="34"/>
        <v>56.763000690515767</v>
      </c>
      <c r="R89" s="348">
        <f t="shared" si="34"/>
        <v>35.961684751759535</v>
      </c>
      <c r="S89" s="349">
        <f t="shared" si="34"/>
        <v>1</v>
      </c>
      <c r="T89" s="362">
        <v>1</v>
      </c>
      <c r="U89" s="363">
        <v>1</v>
      </c>
      <c r="V89" s="363">
        <v>1</v>
      </c>
      <c r="W89" s="363">
        <v>1</v>
      </c>
      <c r="X89" s="363">
        <v>1</v>
      </c>
      <c r="Y89" s="364">
        <f t="shared" si="35"/>
        <v>1</v>
      </c>
      <c r="Z89" s="362">
        <v>0</v>
      </c>
      <c r="AA89" s="363">
        <v>0</v>
      </c>
      <c r="AB89" s="363">
        <v>0</v>
      </c>
      <c r="AC89" s="363">
        <f t="shared" si="36"/>
        <v>204.58842300865123</v>
      </c>
      <c r="AD89" s="363">
        <f t="shared" si="31"/>
        <v>0</v>
      </c>
      <c r="AE89" s="364">
        <f t="shared" si="31"/>
        <v>0</v>
      </c>
    </row>
    <row r="90" spans="2:31" x14ac:dyDescent="0.2">
      <c r="B90" s="365">
        <v>2036</v>
      </c>
      <c r="C90" s="301">
        <f t="shared" si="32"/>
        <v>73600</v>
      </c>
      <c r="D90" s="302">
        <f t="shared" si="32"/>
        <v>220.32125822554843</v>
      </c>
      <c r="E90" s="302">
        <f t="shared" si="32"/>
        <v>3622.5853908969948</v>
      </c>
      <c r="F90" s="302">
        <f t="shared" si="32"/>
        <v>44421.903102979544</v>
      </c>
      <c r="G90" s="302">
        <f t="shared" si="32"/>
        <v>35638.462920802493</v>
      </c>
      <c r="H90" s="303">
        <f t="shared" si="32"/>
        <v>0</v>
      </c>
      <c r="I90" s="366">
        <f>D90*I60</f>
        <v>0</v>
      </c>
      <c r="J90" s="367">
        <f>E90*J60</f>
        <v>0</v>
      </c>
      <c r="K90" s="367">
        <f>F90*K60</f>
        <v>0</v>
      </c>
      <c r="L90" s="367">
        <f>G90*L60</f>
        <v>0</v>
      </c>
      <c r="M90" s="368">
        <f>H90*M60</f>
        <v>0</v>
      </c>
      <c r="N90" s="371">
        <f t="shared" si="33"/>
        <v>12.781114270374328</v>
      </c>
      <c r="O90" s="308">
        <f t="shared" si="34"/>
        <v>13.651088887821988</v>
      </c>
      <c r="P90" s="308">
        <f t="shared" si="34"/>
        <v>23.147895783285492</v>
      </c>
      <c r="Q90" s="369">
        <f t="shared" si="34"/>
        <v>57.26701211383488</v>
      </c>
      <c r="R90" s="369">
        <f t="shared" si="34"/>
        <v>36.356366353488006</v>
      </c>
      <c r="S90" s="370">
        <f t="shared" si="34"/>
        <v>1</v>
      </c>
      <c r="T90" s="310">
        <v>1</v>
      </c>
      <c r="U90" s="311">
        <v>1</v>
      </c>
      <c r="V90" s="311">
        <v>1</v>
      </c>
      <c r="W90" s="311">
        <v>1</v>
      </c>
      <c r="X90" s="311">
        <v>1</v>
      </c>
      <c r="Y90" s="312">
        <f t="shared" si="35"/>
        <v>1</v>
      </c>
      <c r="Z90" s="310">
        <v>0</v>
      </c>
      <c r="AA90" s="311">
        <v>0</v>
      </c>
      <c r="AB90" s="311">
        <v>0</v>
      </c>
      <c r="AC90" s="311">
        <f t="shared" si="36"/>
        <v>207.02234688797193</v>
      </c>
      <c r="AD90" s="311">
        <f t="shared" si="31"/>
        <v>0</v>
      </c>
      <c r="AE90" s="312">
        <f t="shared" si="31"/>
        <v>0</v>
      </c>
    </row>
    <row r="91" spans="2:31" x14ac:dyDescent="0.2">
      <c r="B91" s="313">
        <v>2037</v>
      </c>
      <c r="C91" s="314">
        <f t="shared" si="32"/>
        <v>73600</v>
      </c>
      <c r="D91" s="315">
        <f t="shared" si="32"/>
        <v>223.62798422270177</v>
      </c>
      <c r="E91" s="315">
        <f t="shared" si="32"/>
        <v>3571.3714638679116</v>
      </c>
      <c r="F91" s="315">
        <f t="shared" si="32"/>
        <v>43786.753625594596</v>
      </c>
      <c r="G91" s="315">
        <f t="shared" si="32"/>
        <v>35265.899748332951</v>
      </c>
      <c r="H91" s="316">
        <f t="shared" si="32"/>
        <v>0</v>
      </c>
      <c r="I91" s="317">
        <f>D91*I60</f>
        <v>0</v>
      </c>
      <c r="J91" s="318">
        <f>E91*J60</f>
        <v>0</v>
      </c>
      <c r="K91" s="318">
        <f>F91*K60</f>
        <v>0</v>
      </c>
      <c r="L91" s="318">
        <f>G91*L60</f>
        <v>0</v>
      </c>
      <c r="M91" s="319">
        <f>H91*M60</f>
        <v>0</v>
      </c>
      <c r="N91" s="372">
        <f t="shared" si="33"/>
        <v>12.781114270374328</v>
      </c>
      <c r="O91" s="321">
        <f t="shared" si="34"/>
        <v>13.694860192161023</v>
      </c>
      <c r="P91" s="321">
        <f t="shared" si="34"/>
        <v>23.283046437758724</v>
      </c>
      <c r="Q91" s="352">
        <f t="shared" si="34"/>
        <v>57.580213917940128</v>
      </c>
      <c r="R91" s="352">
        <f t="shared" si="34"/>
        <v>36.601628631264283</v>
      </c>
      <c r="S91" s="353">
        <f t="shared" si="34"/>
        <v>1</v>
      </c>
      <c r="T91" s="323">
        <v>1</v>
      </c>
      <c r="U91" s="324">
        <v>1</v>
      </c>
      <c r="V91" s="324">
        <v>1</v>
      </c>
      <c r="W91" s="324">
        <v>1</v>
      </c>
      <c r="X91" s="324">
        <v>1</v>
      </c>
      <c r="Y91" s="325">
        <f t="shared" si="35"/>
        <v>1</v>
      </c>
      <c r="Z91" s="323">
        <v>0</v>
      </c>
      <c r="AA91" s="324">
        <v>0</v>
      </c>
      <c r="AB91" s="324">
        <v>0</v>
      </c>
      <c r="AC91" s="324">
        <f t="shared" si="36"/>
        <v>209.45627076729264</v>
      </c>
      <c r="AD91" s="324">
        <f t="shared" si="36"/>
        <v>0</v>
      </c>
      <c r="AE91" s="325">
        <f t="shared" si="36"/>
        <v>0</v>
      </c>
    </row>
    <row r="92" spans="2:31" x14ac:dyDescent="0.2">
      <c r="B92" s="313">
        <v>2038</v>
      </c>
      <c r="C92" s="314">
        <f t="shared" ref="C92:H104" si="37">AC23</f>
        <v>73600</v>
      </c>
      <c r="D92" s="315">
        <f t="shared" si="37"/>
        <v>228.8470716836238</v>
      </c>
      <c r="E92" s="315">
        <f t="shared" si="37"/>
        <v>3490.5392556316783</v>
      </c>
      <c r="F92" s="315">
        <f t="shared" si="37"/>
        <v>42784.281489685964</v>
      </c>
      <c r="G92" s="315">
        <f t="shared" si="37"/>
        <v>34677.87407474799</v>
      </c>
      <c r="H92" s="316">
        <f t="shared" si="37"/>
        <v>0</v>
      </c>
      <c r="I92" s="317">
        <f>D92*I60</f>
        <v>0</v>
      </c>
      <c r="J92" s="318">
        <f>E92*J60</f>
        <v>0</v>
      </c>
      <c r="K92" s="318">
        <f>F92*K60</f>
        <v>0</v>
      </c>
      <c r="L92" s="318">
        <f>G92*L60</f>
        <v>0</v>
      </c>
      <c r="M92" s="319">
        <f>H92*M60</f>
        <v>0</v>
      </c>
      <c r="N92" s="372">
        <f t="shared" si="33"/>
        <v>12.781114270374328</v>
      </c>
      <c r="O92" s="321">
        <f t="shared" ref="O92:S104" si="38">MAX(K23,1)</f>
        <v>13.763945524849829</v>
      </c>
      <c r="P92" s="321">
        <f t="shared" si="38"/>
        <v>23.496358059799341</v>
      </c>
      <c r="Q92" s="352">
        <f t="shared" si="38"/>
        <v>58.074548075034187</v>
      </c>
      <c r="R92" s="352">
        <f t="shared" si="38"/>
        <v>36.988732152899047</v>
      </c>
      <c r="S92" s="353">
        <f t="shared" si="38"/>
        <v>1</v>
      </c>
      <c r="T92" s="323">
        <v>1</v>
      </c>
      <c r="U92" s="324">
        <v>1</v>
      </c>
      <c r="V92" s="324">
        <v>1</v>
      </c>
      <c r="W92" s="324">
        <v>1</v>
      </c>
      <c r="X92" s="324">
        <v>1</v>
      </c>
      <c r="Y92" s="325">
        <f t="shared" si="35"/>
        <v>1</v>
      </c>
      <c r="Z92" s="323">
        <v>0</v>
      </c>
      <c r="AA92" s="324">
        <v>0</v>
      </c>
      <c r="AB92" s="324">
        <v>0</v>
      </c>
      <c r="AC92" s="324">
        <f t="shared" ref="AC92:AE104" si="39">Q23</f>
        <v>211.89019464661334</v>
      </c>
      <c r="AD92" s="324">
        <f t="shared" si="39"/>
        <v>0</v>
      </c>
      <c r="AE92" s="325">
        <f t="shared" si="39"/>
        <v>0</v>
      </c>
    </row>
    <row r="93" spans="2:31" x14ac:dyDescent="0.2">
      <c r="B93" s="313">
        <v>2039</v>
      </c>
      <c r="C93" s="314">
        <f t="shared" si="37"/>
        <v>73600</v>
      </c>
      <c r="D93" s="315">
        <f t="shared" si="37"/>
        <v>236.87157175885829</v>
      </c>
      <c r="E93" s="315">
        <f t="shared" si="37"/>
        <v>3366.2573642225589</v>
      </c>
      <c r="F93" s="315">
        <f t="shared" si="37"/>
        <v>41242.951172796049</v>
      </c>
      <c r="G93" s="315">
        <f t="shared" si="37"/>
        <v>33773.767351637296</v>
      </c>
      <c r="H93" s="316">
        <f t="shared" si="37"/>
        <v>0</v>
      </c>
      <c r="I93" s="317">
        <f>D93*I60</f>
        <v>0</v>
      </c>
      <c r="J93" s="318">
        <f>E93*J60</f>
        <v>0</v>
      </c>
      <c r="K93" s="318">
        <f>F93*K60</f>
        <v>0</v>
      </c>
      <c r="L93" s="318">
        <f>G93*L60</f>
        <v>0</v>
      </c>
      <c r="M93" s="319">
        <f>H93*M60</f>
        <v>0</v>
      </c>
      <c r="N93" s="372">
        <f t="shared" si="33"/>
        <v>12.781114270374328</v>
      </c>
      <c r="O93" s="321">
        <f t="shared" si="38"/>
        <v>13.870166250505379</v>
      </c>
      <c r="P93" s="321">
        <f t="shared" si="38"/>
        <v>23.824330936270524</v>
      </c>
      <c r="Q93" s="352">
        <f t="shared" si="38"/>
        <v>58.834601343061124</v>
      </c>
      <c r="R93" s="352">
        <f t="shared" si="38"/>
        <v>37.583915173252748</v>
      </c>
      <c r="S93" s="353">
        <f t="shared" si="38"/>
        <v>1</v>
      </c>
      <c r="T93" s="323">
        <v>1</v>
      </c>
      <c r="U93" s="324">
        <v>1</v>
      </c>
      <c r="V93" s="324">
        <v>1</v>
      </c>
      <c r="W93" s="324">
        <v>1</v>
      </c>
      <c r="X93" s="324">
        <v>1</v>
      </c>
      <c r="Y93" s="325">
        <f t="shared" si="35"/>
        <v>1</v>
      </c>
      <c r="Z93" s="323">
        <v>0</v>
      </c>
      <c r="AA93" s="324">
        <v>0</v>
      </c>
      <c r="AB93" s="324">
        <v>0</v>
      </c>
      <c r="AC93" s="324">
        <f t="shared" si="39"/>
        <v>214.32411852593404</v>
      </c>
      <c r="AD93" s="324">
        <f t="shared" si="39"/>
        <v>0</v>
      </c>
      <c r="AE93" s="325">
        <f t="shared" si="39"/>
        <v>0</v>
      </c>
    </row>
    <row r="94" spans="2:31" ht="15" thickBot="1" x14ac:dyDescent="0.25">
      <c r="B94" s="326">
        <v>2040</v>
      </c>
      <c r="C94" s="327">
        <f t="shared" si="37"/>
        <v>73600</v>
      </c>
      <c r="D94" s="328">
        <f t="shared" si="37"/>
        <v>248.72587489379515</v>
      </c>
      <c r="E94" s="328">
        <f t="shared" si="37"/>
        <v>3182.6602303034142</v>
      </c>
      <c r="F94" s="328">
        <f t="shared" si="37"/>
        <v>38965.999756984944</v>
      </c>
      <c r="G94" s="328">
        <f t="shared" si="37"/>
        <v>32438.163256478085</v>
      </c>
      <c r="H94" s="329">
        <f t="shared" si="37"/>
        <v>0</v>
      </c>
      <c r="I94" s="330">
        <f>D94*I60</f>
        <v>0</v>
      </c>
      <c r="J94" s="331">
        <f>E94*J60</f>
        <v>0</v>
      </c>
      <c r="K94" s="331">
        <f>F94*K60</f>
        <v>0</v>
      </c>
      <c r="L94" s="331">
        <f>G94*L60</f>
        <v>0</v>
      </c>
      <c r="M94" s="332">
        <f>H94*M60</f>
        <v>0</v>
      </c>
      <c r="N94" s="374">
        <f t="shared" si="33"/>
        <v>12.781114270374328</v>
      </c>
      <c r="O94" s="334">
        <f t="shared" si="38"/>
        <v>14.027082278834666</v>
      </c>
      <c r="P94" s="334">
        <f t="shared" si="38"/>
        <v>24.30883338019542</v>
      </c>
      <c r="Q94" s="348">
        <f t="shared" si="38"/>
        <v>59.957400489851274</v>
      </c>
      <c r="R94" s="348">
        <f t="shared" si="38"/>
        <v>38.46315747842948</v>
      </c>
      <c r="S94" s="349">
        <f t="shared" si="38"/>
        <v>1</v>
      </c>
      <c r="T94" s="336">
        <v>1</v>
      </c>
      <c r="U94" s="337">
        <v>1</v>
      </c>
      <c r="V94" s="337">
        <v>1</v>
      </c>
      <c r="W94" s="337">
        <v>1</v>
      </c>
      <c r="X94" s="337">
        <v>1</v>
      </c>
      <c r="Y94" s="338">
        <f t="shared" si="35"/>
        <v>1</v>
      </c>
      <c r="Z94" s="336">
        <v>0</v>
      </c>
      <c r="AA94" s="337">
        <v>0</v>
      </c>
      <c r="AB94" s="337">
        <v>0</v>
      </c>
      <c r="AC94" s="337">
        <f t="shared" si="39"/>
        <v>216.75804240525474</v>
      </c>
      <c r="AD94" s="337">
        <f t="shared" si="39"/>
        <v>0</v>
      </c>
      <c r="AE94" s="338">
        <f t="shared" si="39"/>
        <v>0</v>
      </c>
    </row>
    <row r="95" spans="2:31" x14ac:dyDescent="0.2">
      <c r="B95" s="365">
        <v>2041</v>
      </c>
      <c r="C95" s="301">
        <f t="shared" si="37"/>
        <v>73600</v>
      </c>
      <c r="D95" s="302">
        <f t="shared" si="37"/>
        <v>265.242427692136</v>
      </c>
      <c r="E95" s="302">
        <f t="shared" si="37"/>
        <v>2926.8550833047216</v>
      </c>
      <c r="F95" s="302">
        <f t="shared" si="37"/>
        <v>35793.532522899732</v>
      </c>
      <c r="G95" s="302">
        <f t="shared" si="37"/>
        <v>30577.271451681627</v>
      </c>
      <c r="H95" s="303">
        <f t="shared" si="37"/>
        <v>0</v>
      </c>
      <c r="I95" s="366">
        <f>D95*I60</f>
        <v>0</v>
      </c>
      <c r="J95" s="367">
        <f>E95*J60</f>
        <v>0</v>
      </c>
      <c r="K95" s="367">
        <f>F95*K60</f>
        <v>0</v>
      </c>
      <c r="L95" s="367">
        <f>G95*L60</f>
        <v>0</v>
      </c>
      <c r="M95" s="368">
        <f>H95*M60</f>
        <v>0</v>
      </c>
      <c r="N95" s="371">
        <f t="shared" si="33"/>
        <v>12.781114270374328</v>
      </c>
      <c r="O95" s="343">
        <f t="shared" si="38"/>
        <v>14.245712748909988</v>
      </c>
      <c r="P95" s="343">
        <f t="shared" si="38"/>
        <v>24.98388868331369</v>
      </c>
      <c r="Q95" s="343">
        <f t="shared" si="38"/>
        <v>61.521792017450778</v>
      </c>
      <c r="R95" s="343">
        <f t="shared" si="38"/>
        <v>39.688202239870321</v>
      </c>
      <c r="S95" s="344">
        <f t="shared" si="38"/>
        <v>1</v>
      </c>
      <c r="T95" s="310">
        <v>1</v>
      </c>
      <c r="U95" s="311">
        <v>1</v>
      </c>
      <c r="V95" s="311">
        <v>1</v>
      </c>
      <c r="W95" s="311">
        <v>1</v>
      </c>
      <c r="X95" s="311">
        <v>1</v>
      </c>
      <c r="Y95" s="312">
        <f t="shared" si="35"/>
        <v>1</v>
      </c>
      <c r="Z95" s="310">
        <v>0</v>
      </c>
      <c r="AA95" s="311">
        <v>0</v>
      </c>
      <c r="AB95" s="311">
        <v>0</v>
      </c>
      <c r="AC95" s="311">
        <f t="shared" si="39"/>
        <v>219.19196628457544</v>
      </c>
      <c r="AD95" s="311">
        <f t="shared" si="39"/>
        <v>0</v>
      </c>
      <c r="AE95" s="312">
        <f t="shared" si="39"/>
        <v>0</v>
      </c>
    </row>
    <row r="96" spans="2:31" x14ac:dyDescent="0.2">
      <c r="B96" s="313">
        <v>2042</v>
      </c>
      <c r="C96" s="314">
        <f t="shared" si="37"/>
        <v>73600</v>
      </c>
      <c r="D96" s="315">
        <f t="shared" si="37"/>
        <v>286.47225274345845</v>
      </c>
      <c r="E96" s="315">
        <f t="shared" si="37"/>
        <v>2598.0516953147271</v>
      </c>
      <c r="F96" s="315">
        <f t="shared" si="37"/>
        <v>31715.749151090582</v>
      </c>
      <c r="G96" s="315">
        <f t="shared" si="37"/>
        <v>28185.343309191874</v>
      </c>
      <c r="H96" s="316">
        <f t="shared" si="37"/>
        <v>0</v>
      </c>
      <c r="I96" s="317">
        <f>D96*I60</f>
        <v>0</v>
      </c>
      <c r="J96" s="318">
        <f>E96*J60</f>
        <v>0</v>
      </c>
      <c r="K96" s="318">
        <f>F96*K60</f>
        <v>0</v>
      </c>
      <c r="L96" s="318">
        <f>G96*L60</f>
        <v>0</v>
      </c>
      <c r="M96" s="319">
        <f>H96*M60</f>
        <v>0</v>
      </c>
      <c r="N96" s="372">
        <f t="shared" si="33"/>
        <v>12.781114270374328</v>
      </c>
      <c r="O96" s="321">
        <f t="shared" si="38"/>
        <v>14.52673304940839</v>
      </c>
      <c r="P96" s="321">
        <f t="shared" si="38"/>
        <v>25.851582212353723</v>
      </c>
      <c r="Q96" s="321">
        <f t="shared" si="38"/>
        <v>63.532608611458514</v>
      </c>
      <c r="R96" s="321">
        <f t="shared" si="38"/>
        <v>41.26283384023921</v>
      </c>
      <c r="S96" s="322">
        <f t="shared" si="38"/>
        <v>1</v>
      </c>
      <c r="T96" s="323">
        <v>1</v>
      </c>
      <c r="U96" s="324">
        <v>1</v>
      </c>
      <c r="V96" s="324">
        <v>1</v>
      </c>
      <c r="W96" s="324">
        <v>1</v>
      </c>
      <c r="X96" s="324">
        <v>1</v>
      </c>
      <c r="Y96" s="325">
        <f t="shared" si="35"/>
        <v>1</v>
      </c>
      <c r="Z96" s="323">
        <v>0</v>
      </c>
      <c r="AA96" s="324">
        <v>0</v>
      </c>
      <c r="AB96" s="324">
        <v>0</v>
      </c>
      <c r="AC96" s="324">
        <f t="shared" si="39"/>
        <v>221.62589016389614</v>
      </c>
      <c r="AD96" s="324">
        <f t="shared" si="39"/>
        <v>0</v>
      </c>
      <c r="AE96" s="325">
        <f t="shared" si="39"/>
        <v>0</v>
      </c>
    </row>
    <row r="97" spans="2:31" x14ac:dyDescent="0.2">
      <c r="B97" s="313">
        <v>2043</v>
      </c>
      <c r="C97" s="314">
        <f t="shared" si="37"/>
        <v>73600</v>
      </c>
      <c r="D97" s="315">
        <f t="shared" si="37"/>
        <v>311.10207845837959</v>
      </c>
      <c r="E97" s="315">
        <f t="shared" si="37"/>
        <v>2216.5897604616794</v>
      </c>
      <c r="F97" s="315">
        <f t="shared" si="37"/>
        <v>26984.900285965043</v>
      </c>
      <c r="G97" s="315">
        <f t="shared" si="37"/>
        <v>25410.342896813665</v>
      </c>
      <c r="H97" s="316">
        <f t="shared" si="37"/>
        <v>0</v>
      </c>
      <c r="I97" s="317">
        <f>D97*I60</f>
        <v>0</v>
      </c>
      <c r="J97" s="318">
        <f>E97*J60</f>
        <v>0</v>
      </c>
      <c r="K97" s="318">
        <f>F97*K60</f>
        <v>0</v>
      </c>
      <c r="L97" s="318">
        <f>G97*L60</f>
        <v>0</v>
      </c>
      <c r="M97" s="319">
        <f>H97*M60</f>
        <v>0</v>
      </c>
      <c r="N97" s="372">
        <f t="shared" si="33"/>
        <v>12.781114270374328</v>
      </c>
      <c r="O97" s="321">
        <f t="shared" si="38"/>
        <v>14.852759335866143</v>
      </c>
      <c r="P97" s="321">
        <f t="shared" si="38"/>
        <v>26.85823866583635</v>
      </c>
      <c r="Q97" s="321">
        <f t="shared" si="38"/>
        <v>65.865461667729775</v>
      </c>
      <c r="R97" s="321">
        <f t="shared" si="38"/>
        <v>43.089645968390819</v>
      </c>
      <c r="S97" s="322">
        <f t="shared" si="38"/>
        <v>1</v>
      </c>
      <c r="T97" s="323">
        <v>1</v>
      </c>
      <c r="U97" s="324">
        <v>1</v>
      </c>
      <c r="V97" s="324">
        <v>1</v>
      </c>
      <c r="W97" s="324">
        <v>1</v>
      </c>
      <c r="X97" s="324">
        <v>1</v>
      </c>
      <c r="Y97" s="325">
        <f t="shared" si="35"/>
        <v>1</v>
      </c>
      <c r="Z97" s="323">
        <v>0</v>
      </c>
      <c r="AA97" s="324">
        <v>0</v>
      </c>
      <c r="AB97" s="324">
        <v>0</v>
      </c>
      <c r="AC97" s="324">
        <f t="shared" si="39"/>
        <v>224.05981404321685</v>
      </c>
      <c r="AD97" s="324">
        <f t="shared" si="39"/>
        <v>0</v>
      </c>
      <c r="AE97" s="325">
        <f t="shared" si="39"/>
        <v>0</v>
      </c>
    </row>
    <row r="98" spans="2:31" x14ac:dyDescent="0.2">
      <c r="B98" s="313">
        <v>2044</v>
      </c>
      <c r="C98" s="314">
        <f t="shared" si="37"/>
        <v>73600</v>
      </c>
      <c r="D98" s="315">
        <f t="shared" si="37"/>
        <v>336.49665299058393</v>
      </c>
      <c r="E98" s="315">
        <f t="shared" si="37"/>
        <v>1823.2835451458345</v>
      </c>
      <c r="F98" s="315">
        <f t="shared" si="37"/>
        <v>22107.159960208599</v>
      </c>
      <c r="G98" s="315">
        <f t="shared" si="37"/>
        <v>22549.179540860874</v>
      </c>
      <c r="H98" s="316">
        <f t="shared" si="37"/>
        <v>0</v>
      </c>
      <c r="I98" s="317">
        <f>D98*I60</f>
        <v>0</v>
      </c>
      <c r="J98" s="318">
        <f>E98*J60</f>
        <v>0</v>
      </c>
      <c r="K98" s="318">
        <f>F98*K60</f>
        <v>0</v>
      </c>
      <c r="L98" s="318">
        <f>G98*L60</f>
        <v>0</v>
      </c>
      <c r="M98" s="319">
        <f>H98*M60</f>
        <v>0</v>
      </c>
      <c r="N98" s="372">
        <f t="shared" si="33"/>
        <v>12.781114270374328</v>
      </c>
      <c r="O98" s="321">
        <f t="shared" si="38"/>
        <v>15.188908642269617</v>
      </c>
      <c r="P98" s="321">
        <f t="shared" si="38"/>
        <v>27.896151505016611</v>
      </c>
      <c r="Q98" s="321">
        <f t="shared" si="38"/>
        <v>68.270749122698291</v>
      </c>
      <c r="R98" s="321">
        <f t="shared" si="38"/>
        <v>44.973180073813914</v>
      </c>
      <c r="S98" s="322">
        <f t="shared" si="38"/>
        <v>1</v>
      </c>
      <c r="T98" s="323">
        <v>1</v>
      </c>
      <c r="U98" s="324">
        <v>1</v>
      </c>
      <c r="V98" s="324">
        <v>1</v>
      </c>
      <c r="W98" s="324">
        <v>1</v>
      </c>
      <c r="X98" s="324">
        <v>1</v>
      </c>
      <c r="Y98" s="325">
        <f t="shared" si="35"/>
        <v>1</v>
      </c>
      <c r="Z98" s="323">
        <v>0</v>
      </c>
      <c r="AA98" s="324">
        <v>0</v>
      </c>
      <c r="AB98" s="324">
        <v>0</v>
      </c>
      <c r="AC98" s="324">
        <f t="shared" si="39"/>
        <v>226.49373792253755</v>
      </c>
      <c r="AD98" s="324">
        <f t="shared" si="39"/>
        <v>0</v>
      </c>
      <c r="AE98" s="325">
        <f t="shared" si="39"/>
        <v>0</v>
      </c>
    </row>
    <row r="99" spans="2:31" ht="15" thickBot="1" x14ac:dyDescent="0.25">
      <c r="B99" s="326">
        <v>2045</v>
      </c>
      <c r="C99" s="327">
        <f t="shared" si="37"/>
        <v>73600</v>
      </c>
      <c r="D99" s="328">
        <f t="shared" si="37"/>
        <v>359.68593070658693</v>
      </c>
      <c r="E99" s="328">
        <f t="shared" si="37"/>
        <v>1464.1325366174942</v>
      </c>
      <c r="F99" s="328">
        <f t="shared" si="37"/>
        <v>17653.008743889866</v>
      </c>
      <c r="G99" s="328">
        <f t="shared" si="37"/>
        <v>19936.483212048581</v>
      </c>
      <c r="H99" s="329">
        <f t="shared" si="37"/>
        <v>0</v>
      </c>
      <c r="I99" s="330">
        <f>D99*I60</f>
        <v>0</v>
      </c>
      <c r="J99" s="331">
        <f>E99*J60</f>
        <v>0</v>
      </c>
      <c r="K99" s="331">
        <f>F99*K60</f>
        <v>0</v>
      </c>
      <c r="L99" s="331">
        <f>G99*L60</f>
        <v>0</v>
      </c>
      <c r="M99" s="332">
        <f>H99*M60</f>
        <v>0</v>
      </c>
      <c r="N99" s="374">
        <f t="shared" si="33"/>
        <v>12.781114270374328</v>
      </c>
      <c r="O99" s="334">
        <f t="shared" si="38"/>
        <v>15.4958663197982</v>
      </c>
      <c r="P99" s="334">
        <f t="shared" si="38"/>
        <v>28.843930686834913</v>
      </c>
      <c r="Q99" s="334">
        <f t="shared" si="38"/>
        <v>70.467158387572951</v>
      </c>
      <c r="R99" s="334">
        <f t="shared" si="38"/>
        <v>46.693145706741888</v>
      </c>
      <c r="S99" s="335">
        <f t="shared" si="38"/>
        <v>1</v>
      </c>
      <c r="T99" s="336">
        <v>1</v>
      </c>
      <c r="U99" s="337">
        <v>1</v>
      </c>
      <c r="V99" s="337">
        <v>1</v>
      </c>
      <c r="W99" s="337">
        <v>1</v>
      </c>
      <c r="X99" s="337">
        <v>1</v>
      </c>
      <c r="Y99" s="338">
        <f t="shared" si="35"/>
        <v>1</v>
      </c>
      <c r="Z99" s="336">
        <v>0</v>
      </c>
      <c r="AA99" s="337">
        <v>0</v>
      </c>
      <c r="AB99" s="337">
        <v>0</v>
      </c>
      <c r="AC99" s="337">
        <f t="shared" si="39"/>
        <v>228.92766180185825</v>
      </c>
      <c r="AD99" s="337">
        <f t="shared" si="39"/>
        <v>0</v>
      </c>
      <c r="AE99" s="338">
        <f t="shared" si="39"/>
        <v>0</v>
      </c>
    </row>
    <row r="100" spans="2:31" x14ac:dyDescent="0.2">
      <c r="B100" s="365">
        <v>2046</v>
      </c>
      <c r="C100" s="301">
        <f t="shared" si="37"/>
        <v>73600</v>
      </c>
      <c r="D100" s="302">
        <f t="shared" si="37"/>
        <v>378.62828943662214</v>
      </c>
      <c r="E100" s="302">
        <f t="shared" si="37"/>
        <v>1170.7569806767056</v>
      </c>
      <c r="F100" s="302">
        <f t="shared" si="37"/>
        <v>14014.597439724686</v>
      </c>
      <c r="G100" s="302">
        <f t="shared" si="37"/>
        <v>17802.279994547989</v>
      </c>
      <c r="H100" s="303">
        <f t="shared" si="37"/>
        <v>0</v>
      </c>
      <c r="I100" s="366">
        <f>D100*I60</f>
        <v>0</v>
      </c>
      <c r="J100" s="367">
        <f>E100*J60</f>
        <v>0</v>
      </c>
      <c r="K100" s="367">
        <f>F100*K60</f>
        <v>0</v>
      </c>
      <c r="L100" s="367">
        <f>G100*L60</f>
        <v>0</v>
      </c>
      <c r="M100" s="368">
        <f>H100*M60</f>
        <v>0</v>
      </c>
      <c r="N100" s="371">
        <f t="shared" si="33"/>
        <v>12.781114270374328</v>
      </c>
      <c r="O100" s="308">
        <f t="shared" si="38"/>
        <v>15.746607309401005</v>
      </c>
      <c r="P100" s="308">
        <f t="shared" si="38"/>
        <v>29.618132172484113</v>
      </c>
      <c r="Q100" s="308">
        <f t="shared" si="38"/>
        <v>72.261313976322327</v>
      </c>
      <c r="R100" s="308">
        <f t="shared" si="38"/>
        <v>48.098114262522735</v>
      </c>
      <c r="S100" s="309">
        <f t="shared" si="38"/>
        <v>1</v>
      </c>
      <c r="T100" s="310">
        <v>1</v>
      </c>
      <c r="U100" s="311">
        <v>1</v>
      </c>
      <c r="V100" s="311">
        <v>1</v>
      </c>
      <c r="W100" s="311">
        <v>1</v>
      </c>
      <c r="X100" s="311">
        <v>1</v>
      </c>
      <c r="Y100" s="312">
        <f t="shared" si="35"/>
        <v>1</v>
      </c>
      <c r="Z100" s="310">
        <v>0</v>
      </c>
      <c r="AA100" s="311">
        <v>0</v>
      </c>
      <c r="AB100" s="311">
        <v>0</v>
      </c>
      <c r="AC100" s="311">
        <f t="shared" si="39"/>
        <v>231.36158568117895</v>
      </c>
      <c r="AD100" s="311">
        <f t="shared" si="39"/>
        <v>0</v>
      </c>
      <c r="AE100" s="312">
        <f t="shared" si="39"/>
        <v>0</v>
      </c>
    </row>
    <row r="101" spans="2:31" x14ac:dyDescent="0.2">
      <c r="B101" s="313">
        <v>2047</v>
      </c>
      <c r="C101" s="314">
        <f t="shared" si="37"/>
        <v>73600</v>
      </c>
      <c r="D101" s="315">
        <f t="shared" si="37"/>
        <v>392.7423307594446</v>
      </c>
      <c r="E101" s="315">
        <f t="shared" si="37"/>
        <v>952.16146262811071</v>
      </c>
      <c r="F101" s="315">
        <f t="shared" si="37"/>
        <v>11303.599922029753</v>
      </c>
      <c r="G101" s="315">
        <f t="shared" si="37"/>
        <v>16212.075055849273</v>
      </c>
      <c r="H101" s="316">
        <f t="shared" si="37"/>
        <v>0</v>
      </c>
      <c r="I101" s="317">
        <f>D101*I60</f>
        <v>0</v>
      </c>
      <c r="J101" s="318">
        <f>E101*J60</f>
        <v>0</v>
      </c>
      <c r="K101" s="318">
        <f>F101*K60</f>
        <v>0</v>
      </c>
      <c r="L101" s="318">
        <f>G101*L60</f>
        <v>0</v>
      </c>
      <c r="M101" s="319">
        <f>H101*M60</f>
        <v>0</v>
      </c>
      <c r="N101" s="372">
        <f t="shared" si="33"/>
        <v>12.781114270374328</v>
      </c>
      <c r="O101" s="321">
        <f t="shared" si="38"/>
        <v>15.933435609879128</v>
      </c>
      <c r="P101" s="321">
        <f t="shared" si="38"/>
        <v>30.19499337104844</v>
      </c>
      <c r="Q101" s="321">
        <f t="shared" si="38"/>
        <v>73.598147814181701</v>
      </c>
      <c r="R101" s="321">
        <f t="shared" si="38"/>
        <v>49.144962996419594</v>
      </c>
      <c r="S101" s="322">
        <f t="shared" si="38"/>
        <v>1</v>
      </c>
      <c r="T101" s="323">
        <v>1</v>
      </c>
      <c r="U101" s="324">
        <v>1</v>
      </c>
      <c r="V101" s="324">
        <v>1</v>
      </c>
      <c r="W101" s="324">
        <v>1</v>
      </c>
      <c r="X101" s="324">
        <v>1</v>
      </c>
      <c r="Y101" s="325">
        <f t="shared" si="35"/>
        <v>1</v>
      </c>
      <c r="Z101" s="323">
        <v>0</v>
      </c>
      <c r="AA101" s="324">
        <v>0</v>
      </c>
      <c r="AB101" s="324">
        <v>0</v>
      </c>
      <c r="AC101" s="324">
        <f t="shared" si="39"/>
        <v>233.79550956049965</v>
      </c>
      <c r="AD101" s="324">
        <f t="shared" si="39"/>
        <v>0</v>
      </c>
      <c r="AE101" s="325">
        <f t="shared" si="39"/>
        <v>0</v>
      </c>
    </row>
    <row r="102" spans="2:31" x14ac:dyDescent="0.2">
      <c r="B102" s="313">
        <v>2048</v>
      </c>
      <c r="C102" s="314">
        <f t="shared" si="37"/>
        <v>73600</v>
      </c>
      <c r="D102" s="315">
        <f t="shared" si="37"/>
        <v>402.55469577356064</v>
      </c>
      <c r="E102" s="315">
        <f t="shared" si="37"/>
        <v>800.18946789729125</v>
      </c>
      <c r="F102" s="315">
        <f t="shared" si="37"/>
        <v>9418.8599961964428</v>
      </c>
      <c r="G102" s="315">
        <f t="shared" si="37"/>
        <v>15106.532642527152</v>
      </c>
      <c r="H102" s="316">
        <f t="shared" si="37"/>
        <v>0</v>
      </c>
      <c r="I102" s="317">
        <f>D102*I60</f>
        <v>0</v>
      </c>
      <c r="J102" s="318">
        <f>E102*J60</f>
        <v>0</v>
      </c>
      <c r="K102" s="318">
        <f>F102*K60</f>
        <v>0</v>
      </c>
      <c r="L102" s="318">
        <f>G102*L60</f>
        <v>0</v>
      </c>
      <c r="M102" s="319">
        <f>H102*M60</f>
        <v>0</v>
      </c>
      <c r="N102" s="372">
        <f t="shared" si="33"/>
        <v>12.781114270374328</v>
      </c>
      <c r="O102" s="321">
        <f t="shared" si="38"/>
        <v>16.063322396896957</v>
      </c>
      <c r="P102" s="321">
        <f t="shared" si="38"/>
        <v>30.59603886279152</v>
      </c>
      <c r="Q102" s="321">
        <f t="shared" si="38"/>
        <v>74.527541549134597</v>
      </c>
      <c r="R102" s="321">
        <f t="shared" si="38"/>
        <v>49.872753262624279</v>
      </c>
      <c r="S102" s="322">
        <f t="shared" si="38"/>
        <v>1</v>
      </c>
      <c r="T102" s="323">
        <v>1</v>
      </c>
      <c r="U102" s="324">
        <v>1</v>
      </c>
      <c r="V102" s="324">
        <v>1</v>
      </c>
      <c r="W102" s="324">
        <v>1</v>
      </c>
      <c r="X102" s="324">
        <v>1</v>
      </c>
      <c r="Y102" s="325">
        <f t="shared" si="35"/>
        <v>1</v>
      </c>
      <c r="Z102" s="323">
        <v>0</v>
      </c>
      <c r="AA102" s="324">
        <v>0</v>
      </c>
      <c r="AB102" s="324">
        <v>0</v>
      </c>
      <c r="AC102" s="324">
        <f t="shared" si="39"/>
        <v>236.22943343982035</v>
      </c>
      <c r="AD102" s="324">
        <f t="shared" si="39"/>
        <v>0</v>
      </c>
      <c r="AE102" s="325">
        <f t="shared" si="39"/>
        <v>0</v>
      </c>
    </row>
    <row r="103" spans="2:31" x14ac:dyDescent="0.2">
      <c r="B103" s="313">
        <v>2049</v>
      </c>
      <c r="C103" s="314">
        <f t="shared" si="37"/>
        <v>73600</v>
      </c>
      <c r="D103" s="315">
        <f t="shared" si="37"/>
        <v>409.0523173910359</v>
      </c>
      <c r="E103" s="315">
        <f t="shared" si="37"/>
        <v>699.55557211444511</v>
      </c>
      <c r="F103" s="315">
        <f t="shared" si="37"/>
        <v>8170.8095141978702</v>
      </c>
      <c r="G103" s="315">
        <f t="shared" si="37"/>
        <v>14374.456708386544</v>
      </c>
      <c r="H103" s="316">
        <f t="shared" si="37"/>
        <v>0</v>
      </c>
      <c r="I103" s="317">
        <f>D103*I60</f>
        <v>0</v>
      </c>
      <c r="J103" s="318">
        <f>E103*J60</f>
        <v>0</v>
      </c>
      <c r="K103" s="318">
        <f>F103*K60</f>
        <v>0</v>
      </c>
      <c r="L103" s="318">
        <f>G103*L60</f>
        <v>0</v>
      </c>
      <c r="M103" s="319">
        <f>H103*M60</f>
        <v>0</v>
      </c>
      <c r="N103" s="372">
        <f t="shared" si="33"/>
        <v>12.781114270374328</v>
      </c>
      <c r="O103" s="321">
        <f t="shared" si="38"/>
        <v>16.149331752840947</v>
      </c>
      <c r="P103" s="321">
        <f t="shared" si="38"/>
        <v>30.861606017396149</v>
      </c>
      <c r="Q103" s="321">
        <f t="shared" si="38"/>
        <v>75.1429740992577</v>
      </c>
      <c r="R103" s="321">
        <f t="shared" si="38"/>
        <v>50.354686594688125</v>
      </c>
      <c r="S103" s="322">
        <f t="shared" si="38"/>
        <v>1</v>
      </c>
      <c r="T103" s="323">
        <v>1</v>
      </c>
      <c r="U103" s="324">
        <v>1</v>
      </c>
      <c r="V103" s="324">
        <v>1</v>
      </c>
      <c r="W103" s="324">
        <v>1</v>
      </c>
      <c r="X103" s="324">
        <v>1</v>
      </c>
      <c r="Y103" s="325">
        <f t="shared" si="35"/>
        <v>1</v>
      </c>
      <c r="Z103" s="323">
        <v>0</v>
      </c>
      <c r="AA103" s="324">
        <v>0</v>
      </c>
      <c r="AB103" s="324">
        <v>0</v>
      </c>
      <c r="AC103" s="324">
        <f t="shared" si="39"/>
        <v>238.66335731914106</v>
      </c>
      <c r="AD103" s="324">
        <f t="shared" si="39"/>
        <v>0</v>
      </c>
      <c r="AE103" s="325">
        <f t="shared" si="39"/>
        <v>0</v>
      </c>
    </row>
    <row r="104" spans="2:31" ht="15" thickBot="1" x14ac:dyDescent="0.25">
      <c r="B104" s="326">
        <v>2050</v>
      </c>
      <c r="C104" s="327">
        <f t="shared" si="37"/>
        <v>73600</v>
      </c>
      <c r="D104" s="328">
        <f t="shared" si="37"/>
        <v>420</v>
      </c>
      <c r="E104" s="328">
        <f t="shared" si="37"/>
        <v>530</v>
      </c>
      <c r="F104" s="328">
        <f t="shared" si="37"/>
        <v>6068</v>
      </c>
      <c r="G104" s="328">
        <f t="shared" si="37"/>
        <v>13141</v>
      </c>
      <c r="H104" s="329">
        <f t="shared" si="37"/>
        <v>0</v>
      </c>
      <c r="I104" s="330">
        <f>D104*I60</f>
        <v>0</v>
      </c>
      <c r="J104" s="331">
        <f>E104*J60</f>
        <v>0</v>
      </c>
      <c r="K104" s="331">
        <f>F104*K60</f>
        <v>0</v>
      </c>
      <c r="L104" s="331">
        <f>G104*L60</f>
        <v>0</v>
      </c>
      <c r="M104" s="332">
        <f>H104*M60</f>
        <v>0</v>
      </c>
      <c r="N104" s="374">
        <f t="shared" si="33"/>
        <v>12.781114270374328</v>
      </c>
      <c r="O104" s="334">
        <f t="shared" si="38"/>
        <v>16.2942467980236</v>
      </c>
      <c r="P104" s="334">
        <f t="shared" si="38"/>
        <v>31.309053574538904</v>
      </c>
      <c r="Q104" s="348">
        <f t="shared" si="38"/>
        <v>76.179901243160998</v>
      </c>
      <c r="R104" s="348">
        <f t="shared" si="38"/>
        <v>51.166684194536913</v>
      </c>
      <c r="S104" s="349">
        <f t="shared" si="38"/>
        <v>1</v>
      </c>
      <c r="T104" s="336">
        <v>1</v>
      </c>
      <c r="U104" s="337">
        <v>1</v>
      </c>
      <c r="V104" s="337">
        <v>1</v>
      </c>
      <c r="W104" s="337">
        <v>1</v>
      </c>
      <c r="X104" s="337">
        <v>1</v>
      </c>
      <c r="Y104" s="338">
        <f t="shared" si="35"/>
        <v>1</v>
      </c>
      <c r="Z104" s="336">
        <v>0</v>
      </c>
      <c r="AA104" s="337">
        <v>0</v>
      </c>
      <c r="AB104" s="337">
        <v>0</v>
      </c>
      <c r="AC104" s="337">
        <f t="shared" si="39"/>
        <v>241.09728119846181</v>
      </c>
      <c r="AD104" s="337">
        <f t="shared" si="39"/>
        <v>0</v>
      </c>
      <c r="AE104" s="338">
        <f t="shared" si="39"/>
        <v>0</v>
      </c>
    </row>
  </sheetData>
  <mergeCells count="8">
    <mergeCell ref="G4:H4"/>
    <mergeCell ref="O4:P4"/>
    <mergeCell ref="Z4:AA4"/>
    <mergeCell ref="C58:H58"/>
    <mergeCell ref="I58:M58"/>
    <mergeCell ref="N58:S58"/>
    <mergeCell ref="T58:Y58"/>
    <mergeCell ref="Z58:AE58"/>
  </mergeCells>
  <conditionalFormatting sqref="K6:N35">
    <cfRule type="expression" dxfId="29" priority="14">
      <formula>K6&lt;$J6</formula>
    </cfRule>
  </conditionalFormatting>
  <conditionalFormatting sqref="T74:T104">
    <cfRule type="expression" dxfId="28" priority="13">
      <formula>AND($G$8="N/A",$T74&gt;1)</formula>
    </cfRule>
  </conditionalFormatting>
  <conditionalFormatting sqref="V74:V104">
    <cfRule type="expression" dxfId="27" priority="11">
      <formula>AND($G$10="N/A",$V74&gt;1)</formula>
    </cfRule>
  </conditionalFormatting>
  <conditionalFormatting sqref="U74:U104">
    <cfRule type="expression" dxfId="26" priority="12">
      <formula>AND($G$9="N/A",$U74&gt;1)</formula>
    </cfRule>
  </conditionalFormatting>
  <conditionalFormatting sqref="W74:W104">
    <cfRule type="expression" dxfId="25" priority="10">
      <formula>AND($G$11="N/A",$W74&gt;1)</formula>
    </cfRule>
  </conditionalFormatting>
  <conditionalFormatting sqref="X74:X104">
    <cfRule type="expression" dxfId="24" priority="9">
      <formula>AND($G$12="N/A",$X74&gt;1)</formula>
    </cfRule>
  </conditionalFormatting>
  <conditionalFormatting sqref="Y74:Y104">
    <cfRule type="expression" dxfId="23" priority="8">
      <formula>AND($G$13="N/A",$Y74&gt;1)</formula>
    </cfRule>
  </conditionalFormatting>
  <conditionalFormatting sqref="Z59:AE59">
    <cfRule type="expression" dxfId="22" priority="7">
      <formula>INDEX($H$8:$H$13,MATCH(Z$20,$B$8:$B$13,0))=TRUE</formula>
    </cfRule>
  </conditionalFormatting>
  <conditionalFormatting sqref="T61:T73">
    <cfRule type="expression" dxfId="21" priority="6">
      <formula>AND($G$8="N/A",$T61&gt;1)</formula>
    </cfRule>
  </conditionalFormatting>
  <conditionalFormatting sqref="V61:V73">
    <cfRule type="expression" dxfId="20" priority="4">
      <formula>AND($G$10="N/A",$V61&gt;1)</formula>
    </cfRule>
  </conditionalFormatting>
  <conditionalFormatting sqref="U61:U73">
    <cfRule type="expression" dxfId="19" priority="5">
      <formula>AND($G$9="N/A",U61&gt;1)</formula>
    </cfRule>
  </conditionalFormatting>
  <conditionalFormatting sqref="W61:W73">
    <cfRule type="expression" dxfId="18" priority="3">
      <formula>AND($G$11="N/A",$W61&gt;1)</formula>
    </cfRule>
  </conditionalFormatting>
  <conditionalFormatting sqref="X61:X73">
    <cfRule type="expression" dxfId="17" priority="2">
      <formula>AND($G$12="N/A",$X61&gt;1)</formula>
    </cfRule>
  </conditionalFormatting>
  <conditionalFormatting sqref="Y61:Y73">
    <cfRule type="expression" dxfId="16" priority="1">
      <formula>AND($G$13="N/A",$Y61&gt;1)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V95"/>
  <sheetViews>
    <sheetView topLeftCell="A37" zoomScale="85" zoomScaleNormal="85" workbookViewId="0">
      <selection activeCell="I70" sqref="I70:L73"/>
    </sheetView>
  </sheetViews>
  <sheetFormatPr baseColWidth="10" defaultColWidth="9.1640625" defaultRowHeight="14" x14ac:dyDescent="0.2"/>
  <cols>
    <col min="1" max="1" width="9.1640625" style="22"/>
    <col min="2" max="2" width="3.5" style="23" bestFit="1" customWidth="1"/>
    <col min="3" max="3" width="34.5" style="22" customWidth="1"/>
    <col min="4" max="7" width="10.5" style="24" customWidth="1"/>
    <col min="8" max="8" width="2.5" style="24" customWidth="1"/>
    <col min="9" max="9" width="10.5" style="24" customWidth="1"/>
    <col min="10" max="12" width="10.5" style="22" customWidth="1"/>
    <col min="13" max="13" width="2.33203125" style="22" customWidth="1"/>
    <col min="14" max="14" width="10.5" style="24" customWidth="1"/>
    <col min="15" max="17" width="10.5" style="22" customWidth="1"/>
    <col min="18" max="18" width="2.5" style="22" customWidth="1"/>
    <col min="19" max="19" width="10.5" style="24" customWidth="1"/>
    <col min="20" max="22" width="10.5" style="22" customWidth="1"/>
    <col min="23" max="23" width="2.5" style="22" customWidth="1"/>
    <col min="24" max="16384" width="9.1640625" style="22"/>
  </cols>
  <sheetData>
    <row r="2" spans="1:22" ht="14.5" customHeight="1" thickBot="1" x14ac:dyDescent="0.25"/>
    <row r="3" spans="1:22" ht="15" customHeight="1" x14ac:dyDescent="0.2">
      <c r="B3" s="394" t="s">
        <v>0</v>
      </c>
      <c r="C3" s="25" t="s">
        <v>1</v>
      </c>
      <c r="D3" s="26" t="s">
        <v>2</v>
      </c>
      <c r="E3" s="26" t="s">
        <v>2</v>
      </c>
      <c r="F3" s="26" t="s">
        <v>2</v>
      </c>
      <c r="G3" s="27" t="s">
        <v>2</v>
      </c>
      <c r="I3" s="28" t="s">
        <v>2</v>
      </c>
      <c r="J3" s="26" t="s">
        <v>2</v>
      </c>
      <c r="K3" s="26" t="s">
        <v>2</v>
      </c>
      <c r="L3" s="27" t="s">
        <v>2</v>
      </c>
      <c r="N3" s="28" t="s">
        <v>2</v>
      </c>
      <c r="O3" s="26" t="s">
        <v>2</v>
      </c>
      <c r="P3" s="26" t="s">
        <v>2</v>
      </c>
      <c r="Q3" s="27" t="s">
        <v>2</v>
      </c>
      <c r="S3" s="28" t="s">
        <v>2</v>
      </c>
      <c r="T3" s="26" t="s">
        <v>2</v>
      </c>
      <c r="U3" s="26" t="s">
        <v>2</v>
      </c>
      <c r="V3" s="27" t="s">
        <v>2</v>
      </c>
    </row>
    <row r="4" spans="1:22" ht="15" customHeight="1" x14ac:dyDescent="0.2">
      <c r="B4" s="388"/>
      <c r="C4" s="29" t="s">
        <v>42</v>
      </c>
      <c r="D4" s="30" t="s">
        <v>206</v>
      </c>
      <c r="E4" s="30" t="s">
        <v>206</v>
      </c>
      <c r="F4" s="30" t="s">
        <v>206</v>
      </c>
      <c r="G4" s="31" t="s">
        <v>206</v>
      </c>
      <c r="I4" s="32" t="s">
        <v>80</v>
      </c>
      <c r="J4" s="30" t="s">
        <v>80</v>
      </c>
      <c r="K4" s="30" t="s">
        <v>80</v>
      </c>
      <c r="L4" s="31" t="s">
        <v>80</v>
      </c>
      <c r="N4" s="32" t="s">
        <v>86</v>
      </c>
      <c r="O4" s="30" t="s">
        <v>86</v>
      </c>
      <c r="P4" s="30" t="s">
        <v>86</v>
      </c>
      <c r="Q4" s="31" t="s">
        <v>86</v>
      </c>
      <c r="S4" s="32" t="s">
        <v>116</v>
      </c>
      <c r="T4" s="30" t="s">
        <v>116</v>
      </c>
      <c r="U4" s="30" t="s">
        <v>116</v>
      </c>
      <c r="V4" s="31" t="s">
        <v>116</v>
      </c>
    </row>
    <row r="5" spans="1:22" x14ac:dyDescent="0.2">
      <c r="B5" s="388"/>
      <c r="C5" s="29" t="s">
        <v>43</v>
      </c>
      <c r="D5" s="30" t="s">
        <v>44</v>
      </c>
      <c r="E5" s="30" t="s">
        <v>44</v>
      </c>
      <c r="F5" s="30" t="s">
        <v>44</v>
      </c>
      <c r="G5" s="31" t="s">
        <v>44</v>
      </c>
      <c r="I5" s="32" t="s">
        <v>44</v>
      </c>
      <c r="J5" s="30" t="s">
        <v>44</v>
      </c>
      <c r="K5" s="30" t="s">
        <v>44</v>
      </c>
      <c r="L5" s="31" t="s">
        <v>44</v>
      </c>
      <c r="N5" s="32" t="s">
        <v>44</v>
      </c>
      <c r="O5" s="30" t="s">
        <v>44</v>
      </c>
      <c r="P5" s="30" t="s">
        <v>44</v>
      </c>
      <c r="Q5" s="31" t="s">
        <v>44</v>
      </c>
      <c r="S5" s="32" t="s">
        <v>44</v>
      </c>
      <c r="T5" s="30" t="s">
        <v>44</v>
      </c>
      <c r="U5" s="30" t="s">
        <v>44</v>
      </c>
      <c r="V5" s="31" t="s">
        <v>44</v>
      </c>
    </row>
    <row r="6" spans="1:22" ht="15" thickBot="1" x14ac:dyDescent="0.25">
      <c r="B6" s="395"/>
      <c r="C6" s="33" t="s">
        <v>3</v>
      </c>
      <c r="D6" s="34">
        <v>2021</v>
      </c>
      <c r="E6" s="34">
        <v>2027</v>
      </c>
      <c r="F6" s="34">
        <v>2035</v>
      </c>
      <c r="G6" s="35">
        <v>2050</v>
      </c>
      <c r="I6" s="36">
        <v>2021</v>
      </c>
      <c r="J6" s="34">
        <v>2027</v>
      </c>
      <c r="K6" s="34">
        <v>2035</v>
      </c>
      <c r="L6" s="35">
        <v>2050</v>
      </c>
      <c r="N6" s="36">
        <v>2021</v>
      </c>
      <c r="O6" s="34">
        <v>2027</v>
      </c>
      <c r="P6" s="34">
        <v>2035</v>
      </c>
      <c r="Q6" s="35">
        <v>2050</v>
      </c>
      <c r="S6" s="36">
        <v>2021</v>
      </c>
      <c r="T6" s="34">
        <v>2027</v>
      </c>
      <c r="U6" s="34">
        <v>2035</v>
      </c>
      <c r="V6" s="35">
        <v>2050</v>
      </c>
    </row>
    <row r="7" spans="1:22" ht="15" customHeight="1" thickTop="1" x14ac:dyDescent="0.2">
      <c r="B7" s="388" t="s">
        <v>4</v>
      </c>
      <c r="C7" s="37" t="s">
        <v>5</v>
      </c>
      <c r="D7" s="38">
        <v>1</v>
      </c>
      <c r="E7" s="38">
        <v>1</v>
      </c>
      <c r="F7" s="38">
        <v>1</v>
      </c>
      <c r="G7" s="39">
        <v>1</v>
      </c>
      <c r="I7" s="40">
        <v>4</v>
      </c>
      <c r="J7" s="41">
        <v>4</v>
      </c>
      <c r="K7" s="41">
        <v>4</v>
      </c>
      <c r="L7" s="42">
        <v>4</v>
      </c>
      <c r="N7" s="40">
        <v>2</v>
      </c>
      <c r="O7" s="41">
        <v>2</v>
      </c>
      <c r="P7" s="41">
        <v>2</v>
      </c>
      <c r="Q7" s="42">
        <v>2</v>
      </c>
      <c r="S7" s="40">
        <v>2</v>
      </c>
      <c r="T7" s="41">
        <v>2</v>
      </c>
      <c r="U7" s="41">
        <v>2</v>
      </c>
      <c r="V7" s="42">
        <v>2</v>
      </c>
    </row>
    <row r="8" spans="1:22" x14ac:dyDescent="0.2">
      <c r="B8" s="388"/>
      <c r="C8" s="43" t="s">
        <v>6</v>
      </c>
      <c r="D8" s="44">
        <v>0.54600000000000004</v>
      </c>
      <c r="E8" s="44">
        <v>0.48099999999999998</v>
      </c>
      <c r="F8" s="44">
        <v>0.46</v>
      </c>
      <c r="G8" s="45">
        <v>0.35</v>
      </c>
      <c r="I8" s="46">
        <v>0.54600000000000004</v>
      </c>
      <c r="J8" s="44">
        <v>0.48099999999999998</v>
      </c>
      <c r="K8" s="44">
        <v>0.46</v>
      </c>
      <c r="L8" s="45">
        <v>0.35</v>
      </c>
      <c r="N8" s="46">
        <v>0.54600000000000004</v>
      </c>
      <c r="O8" s="44">
        <v>0.48099999999999998</v>
      </c>
      <c r="P8" s="44">
        <v>0.46</v>
      </c>
      <c r="Q8" s="45">
        <v>0.35</v>
      </c>
      <c r="S8" s="46">
        <v>0.54600000000000004</v>
      </c>
      <c r="T8" s="44">
        <v>0.48099999999999998</v>
      </c>
      <c r="U8" s="44">
        <v>0.46</v>
      </c>
      <c r="V8" s="45">
        <v>0.35</v>
      </c>
    </row>
    <row r="9" spans="1:22" x14ac:dyDescent="0.2">
      <c r="B9" s="388"/>
      <c r="C9" s="29" t="s">
        <v>7</v>
      </c>
      <c r="D9" s="30">
        <v>10.4</v>
      </c>
      <c r="E9" s="30">
        <v>10.4</v>
      </c>
      <c r="F9" s="30">
        <v>10.4</v>
      </c>
      <c r="G9" s="31">
        <v>10.4</v>
      </c>
      <c r="I9" s="32">
        <v>10.4</v>
      </c>
      <c r="J9" s="30">
        <v>10.4</v>
      </c>
      <c r="K9" s="30">
        <v>10.4</v>
      </c>
      <c r="L9" s="31">
        <v>10.4</v>
      </c>
      <c r="N9" s="32">
        <v>10.4</v>
      </c>
      <c r="O9" s="30">
        <v>10.4</v>
      </c>
      <c r="P9" s="30">
        <v>10.4</v>
      </c>
      <c r="Q9" s="31">
        <v>10.4</v>
      </c>
      <c r="S9" s="32">
        <v>10.4</v>
      </c>
      <c r="T9" s="30">
        <v>10.4</v>
      </c>
      <c r="U9" s="30">
        <v>10.4</v>
      </c>
      <c r="V9" s="31">
        <v>10.4</v>
      </c>
    </row>
    <row r="10" spans="1:22" x14ac:dyDescent="0.2">
      <c r="B10" s="388"/>
      <c r="C10" s="43" t="s">
        <v>8</v>
      </c>
      <c r="D10" s="44">
        <v>11776</v>
      </c>
      <c r="E10" s="44">
        <v>11776</v>
      </c>
      <c r="F10" s="44">
        <v>11776</v>
      </c>
      <c r="G10" s="45">
        <v>11776</v>
      </c>
      <c r="I10" s="46">
        <v>11776</v>
      </c>
      <c r="J10" s="44">
        <v>11776</v>
      </c>
      <c r="K10" s="44">
        <v>11776</v>
      </c>
      <c r="L10" s="45">
        <v>11776</v>
      </c>
      <c r="N10" s="46">
        <v>11776</v>
      </c>
      <c r="O10" s="44">
        <v>11776</v>
      </c>
      <c r="P10" s="44">
        <v>11776</v>
      </c>
      <c r="Q10" s="45">
        <v>11776</v>
      </c>
      <c r="S10" s="46">
        <v>11776</v>
      </c>
      <c r="T10" s="44">
        <v>11776</v>
      </c>
      <c r="U10" s="44">
        <v>11776</v>
      </c>
      <c r="V10" s="45">
        <v>11776</v>
      </c>
    </row>
    <row r="11" spans="1:22" x14ac:dyDescent="0.2">
      <c r="A11" s="22">
        <v>1</v>
      </c>
      <c r="B11" s="388"/>
      <c r="C11" s="29" t="s">
        <v>9</v>
      </c>
      <c r="D11" s="30">
        <v>0.46</v>
      </c>
      <c r="E11" s="30">
        <v>0.46</v>
      </c>
      <c r="F11" s="30">
        <v>0.46</v>
      </c>
      <c r="G11" s="31">
        <v>0.46</v>
      </c>
      <c r="I11" s="32">
        <v>0.46</v>
      </c>
      <c r="J11" s="30">
        <v>0.46</v>
      </c>
      <c r="K11" s="30">
        <v>0.46</v>
      </c>
      <c r="L11" s="31">
        <v>0.46</v>
      </c>
      <c r="N11" s="32">
        <v>0.46</v>
      </c>
      <c r="O11" s="30">
        <v>0.46</v>
      </c>
      <c r="P11" s="30">
        <v>0.46</v>
      </c>
      <c r="Q11" s="31">
        <v>0.46</v>
      </c>
      <c r="S11" s="32">
        <v>0.46</v>
      </c>
      <c r="T11" s="30">
        <v>0.46</v>
      </c>
      <c r="U11" s="30">
        <v>0.46</v>
      </c>
      <c r="V11" s="31">
        <v>0.46</v>
      </c>
    </row>
    <row r="12" spans="1:22" x14ac:dyDescent="0.2">
      <c r="A12" s="22">
        <v>1</v>
      </c>
      <c r="B12" s="388"/>
      <c r="C12" s="29" t="s">
        <v>10</v>
      </c>
      <c r="D12" s="30">
        <v>0.8</v>
      </c>
      <c r="E12" s="30">
        <v>0.8</v>
      </c>
      <c r="F12" s="30">
        <v>0.8</v>
      </c>
      <c r="G12" s="31">
        <v>0.8</v>
      </c>
      <c r="I12" s="32">
        <v>0.8</v>
      </c>
      <c r="J12" s="30">
        <v>0.8</v>
      </c>
      <c r="K12" s="30">
        <v>0.8</v>
      </c>
      <c r="L12" s="31">
        <v>0.8</v>
      </c>
      <c r="N12" s="32">
        <v>0.8</v>
      </c>
      <c r="O12" s="30">
        <v>0.8</v>
      </c>
      <c r="P12" s="30">
        <v>0.8</v>
      </c>
      <c r="Q12" s="31">
        <v>0.8</v>
      </c>
      <c r="S12" s="32">
        <v>0.8</v>
      </c>
      <c r="T12" s="30">
        <v>0.8</v>
      </c>
      <c r="U12" s="30">
        <v>0.8</v>
      </c>
      <c r="V12" s="31">
        <v>0.8</v>
      </c>
    </row>
    <row r="13" spans="1:22" ht="14.5" customHeight="1" x14ac:dyDescent="0.2">
      <c r="A13" s="22">
        <v>1</v>
      </c>
      <c r="B13" s="388"/>
      <c r="C13" s="29" t="s">
        <v>11</v>
      </c>
      <c r="D13" s="30">
        <v>2.2799999999999998</v>
      </c>
      <c r="E13" s="30">
        <v>2.2799999999999998</v>
      </c>
      <c r="F13" s="30">
        <v>2.2799999999999998</v>
      </c>
      <c r="G13" s="31">
        <v>2.2799999999999998</v>
      </c>
      <c r="I13" s="32">
        <v>2.2799999999999998</v>
      </c>
      <c r="J13" s="30">
        <v>2.2799999999999998</v>
      </c>
      <c r="K13" s="30">
        <v>2.2799999999999998</v>
      </c>
      <c r="L13" s="31">
        <v>2.2799999999999998</v>
      </c>
      <c r="N13" s="32">
        <v>2.2799999999999998</v>
      </c>
      <c r="O13" s="30">
        <v>2.2799999999999998</v>
      </c>
      <c r="P13" s="30">
        <v>2.2799999999999998</v>
      </c>
      <c r="Q13" s="31">
        <v>2.2799999999999998</v>
      </c>
      <c r="S13" s="32">
        <v>2.2799999999999998</v>
      </c>
      <c r="T13" s="30">
        <v>2.2799999999999998</v>
      </c>
      <c r="U13" s="30">
        <v>2.2799999999999998</v>
      </c>
      <c r="V13" s="31">
        <v>2.2799999999999998</v>
      </c>
    </row>
    <row r="14" spans="1:22" x14ac:dyDescent="0.2">
      <c r="B14" s="388"/>
      <c r="C14" s="43" t="s">
        <v>12</v>
      </c>
      <c r="D14" s="44">
        <v>17236</v>
      </c>
      <c r="E14" s="44">
        <v>17236</v>
      </c>
      <c r="F14" s="44">
        <v>17236</v>
      </c>
      <c r="G14" s="45">
        <v>17236</v>
      </c>
      <c r="I14" s="46">
        <v>16343</v>
      </c>
      <c r="J14" s="44">
        <v>17236</v>
      </c>
      <c r="K14" s="44">
        <v>17236</v>
      </c>
      <c r="L14" s="45">
        <v>17236</v>
      </c>
      <c r="N14" s="46">
        <v>17236</v>
      </c>
      <c r="O14" s="44">
        <v>17236</v>
      </c>
      <c r="P14" s="44">
        <v>17236</v>
      </c>
      <c r="Q14" s="45">
        <v>17236</v>
      </c>
      <c r="S14" s="46">
        <v>17236</v>
      </c>
      <c r="T14" s="44">
        <v>17236</v>
      </c>
      <c r="U14" s="44">
        <v>17236</v>
      </c>
      <c r="V14" s="45">
        <v>17236</v>
      </c>
    </row>
    <row r="15" spans="1:22" ht="15" thickBot="1" x14ac:dyDescent="0.25">
      <c r="A15" s="22">
        <v>1</v>
      </c>
      <c r="B15" s="389"/>
      <c r="C15" s="33" t="s">
        <v>13</v>
      </c>
      <c r="D15" s="34"/>
      <c r="E15" s="34"/>
      <c r="F15" s="34"/>
      <c r="G15" s="35"/>
      <c r="I15" s="36"/>
      <c r="J15" s="34"/>
      <c r="K15" s="34"/>
      <c r="L15" s="35"/>
      <c r="N15" s="36"/>
      <c r="O15" s="34"/>
      <c r="P15" s="34"/>
      <c r="Q15" s="35"/>
      <c r="S15" s="36"/>
      <c r="T15" s="34"/>
      <c r="U15" s="34"/>
      <c r="V15" s="35"/>
    </row>
    <row r="16" spans="1:22" ht="15" customHeight="1" thickTop="1" x14ac:dyDescent="0.2">
      <c r="A16" s="22">
        <v>1</v>
      </c>
      <c r="B16" s="396" t="s">
        <v>14</v>
      </c>
      <c r="C16" s="37" t="s">
        <v>15</v>
      </c>
      <c r="D16" s="38">
        <v>5000</v>
      </c>
      <c r="E16" s="38">
        <v>5000</v>
      </c>
      <c r="F16" s="38">
        <v>5000</v>
      </c>
      <c r="G16" s="39">
        <v>5000</v>
      </c>
      <c r="I16" s="47">
        <v>5000</v>
      </c>
      <c r="J16" s="48">
        <v>5000</v>
      </c>
      <c r="K16" s="48">
        <v>5000</v>
      </c>
      <c r="L16" s="49">
        <v>5000</v>
      </c>
      <c r="N16" s="50">
        <v>5000</v>
      </c>
      <c r="O16" s="51">
        <v>5000</v>
      </c>
      <c r="P16" s="51">
        <v>5000</v>
      </c>
      <c r="Q16" s="52">
        <v>5000</v>
      </c>
      <c r="S16" s="50">
        <v>5000</v>
      </c>
      <c r="T16" s="51">
        <v>5000</v>
      </c>
      <c r="U16" s="51">
        <v>5000</v>
      </c>
      <c r="V16" s="52">
        <v>5000</v>
      </c>
    </row>
    <row r="17" spans="1:22" x14ac:dyDescent="0.2">
      <c r="A17" s="22">
        <v>1</v>
      </c>
      <c r="B17" s="388"/>
      <c r="C17" s="29" t="s">
        <v>16</v>
      </c>
      <c r="D17" s="30">
        <v>1</v>
      </c>
      <c r="E17" s="30">
        <v>1</v>
      </c>
      <c r="F17" s="30">
        <v>1</v>
      </c>
      <c r="G17" s="31">
        <v>1</v>
      </c>
      <c r="I17" s="53">
        <v>1</v>
      </c>
      <c r="J17" s="54">
        <v>1</v>
      </c>
      <c r="K17" s="54">
        <v>1</v>
      </c>
      <c r="L17" s="55">
        <v>1</v>
      </c>
      <c r="N17" s="56">
        <v>1</v>
      </c>
      <c r="O17" s="57">
        <v>1</v>
      </c>
      <c r="P17" s="57">
        <v>1</v>
      </c>
      <c r="Q17" s="58">
        <v>1</v>
      </c>
      <c r="S17" s="56">
        <v>1</v>
      </c>
      <c r="T17" s="57">
        <v>1</v>
      </c>
      <c r="U17" s="57">
        <v>1</v>
      </c>
      <c r="V17" s="58">
        <v>1</v>
      </c>
    </row>
    <row r="18" spans="1:22" x14ac:dyDescent="0.2">
      <c r="B18" s="388"/>
      <c r="C18" s="29" t="s">
        <v>17</v>
      </c>
      <c r="D18" s="30">
        <v>11385</v>
      </c>
      <c r="E18" s="30">
        <v>11385</v>
      </c>
      <c r="F18" s="30">
        <v>11385</v>
      </c>
      <c r="G18" s="31">
        <v>11385</v>
      </c>
      <c r="I18" s="53">
        <v>11385</v>
      </c>
      <c r="J18" s="54">
        <v>11385</v>
      </c>
      <c r="K18" s="54">
        <v>11385</v>
      </c>
      <c r="L18" s="55">
        <v>11385</v>
      </c>
      <c r="N18" s="56">
        <v>11385</v>
      </c>
      <c r="O18" s="57">
        <v>11385</v>
      </c>
      <c r="P18" s="57">
        <v>11385</v>
      </c>
      <c r="Q18" s="58">
        <v>11385</v>
      </c>
      <c r="S18" s="59">
        <v>3204</v>
      </c>
      <c r="T18" s="60">
        <v>2778</v>
      </c>
      <c r="U18" s="60">
        <v>2717</v>
      </c>
      <c r="V18" s="61">
        <v>1770</v>
      </c>
    </row>
    <row r="19" spans="1:22" x14ac:dyDescent="0.2">
      <c r="A19" s="22">
        <v>1</v>
      </c>
      <c r="B19" s="388"/>
      <c r="C19" s="29" t="s">
        <v>18</v>
      </c>
      <c r="D19" s="30">
        <v>12.67</v>
      </c>
      <c r="E19" s="30">
        <v>12.67</v>
      </c>
      <c r="F19" s="30">
        <v>12.67</v>
      </c>
      <c r="G19" s="31">
        <v>12.67</v>
      </c>
      <c r="I19" s="53">
        <v>12.67</v>
      </c>
      <c r="J19" s="54">
        <v>12.67</v>
      </c>
      <c r="K19" s="54">
        <v>12.67</v>
      </c>
      <c r="L19" s="55">
        <v>12.67</v>
      </c>
      <c r="N19" s="56">
        <v>12.67</v>
      </c>
      <c r="O19" s="57">
        <v>12.67</v>
      </c>
      <c r="P19" s="57">
        <v>12.67</v>
      </c>
      <c r="Q19" s="58">
        <v>12.67</v>
      </c>
      <c r="S19" s="59">
        <v>1.55</v>
      </c>
      <c r="T19" s="60">
        <v>1.7</v>
      </c>
      <c r="U19" s="60">
        <v>1.75</v>
      </c>
      <c r="V19" s="61">
        <v>2.2000000000000002</v>
      </c>
    </row>
    <row r="20" spans="1:22" x14ac:dyDescent="0.2">
      <c r="B20" s="388"/>
      <c r="C20" s="29" t="s">
        <v>19</v>
      </c>
      <c r="D20" s="30">
        <v>331</v>
      </c>
      <c r="E20" s="30">
        <v>331</v>
      </c>
      <c r="F20" s="30">
        <v>331</v>
      </c>
      <c r="G20" s="31">
        <v>331</v>
      </c>
      <c r="I20" s="62">
        <v>331</v>
      </c>
      <c r="J20" s="63">
        <v>331</v>
      </c>
      <c r="K20" s="63">
        <v>331</v>
      </c>
      <c r="L20" s="64">
        <v>331</v>
      </c>
      <c r="N20" s="59">
        <v>328.97</v>
      </c>
      <c r="O20" s="60">
        <v>318.38</v>
      </c>
      <c r="P20" s="60">
        <v>309.02999999999997</v>
      </c>
      <c r="Q20" s="61">
        <v>287.87</v>
      </c>
      <c r="S20" s="59">
        <v>302.58</v>
      </c>
      <c r="T20" s="60">
        <v>298.68</v>
      </c>
      <c r="U20" s="60">
        <v>294.73</v>
      </c>
      <c r="V20" s="61">
        <v>277.27999999999997</v>
      </c>
    </row>
    <row r="21" spans="1:22" x14ac:dyDescent="0.2">
      <c r="A21" s="22">
        <v>1</v>
      </c>
      <c r="B21" s="388"/>
      <c r="C21" s="29" t="s">
        <v>20</v>
      </c>
      <c r="D21" s="30">
        <v>2</v>
      </c>
      <c r="E21" s="30">
        <v>2</v>
      </c>
      <c r="F21" s="30">
        <v>2</v>
      </c>
      <c r="G21" s="31">
        <v>2</v>
      </c>
      <c r="I21" s="53">
        <v>2</v>
      </c>
      <c r="J21" s="54">
        <v>2</v>
      </c>
      <c r="K21" s="54">
        <v>2</v>
      </c>
      <c r="L21" s="55">
        <v>2</v>
      </c>
      <c r="N21" s="56">
        <v>2</v>
      </c>
      <c r="O21" s="57">
        <v>2</v>
      </c>
      <c r="P21" s="57">
        <v>2</v>
      </c>
      <c r="Q21" s="58">
        <v>2</v>
      </c>
      <c r="S21" s="56">
        <v>4</v>
      </c>
      <c r="T21" s="57">
        <v>4</v>
      </c>
      <c r="U21" s="57">
        <v>4</v>
      </c>
      <c r="V21" s="58">
        <v>4</v>
      </c>
    </row>
    <row r="22" spans="1:22" x14ac:dyDescent="0.2">
      <c r="A22" s="22">
        <v>1</v>
      </c>
      <c r="B22" s="388"/>
      <c r="C22" s="43" t="s">
        <v>22</v>
      </c>
      <c r="D22" s="65">
        <v>0.01</v>
      </c>
      <c r="E22" s="65">
        <v>0.05</v>
      </c>
      <c r="F22" s="65">
        <v>0.1</v>
      </c>
      <c r="G22" s="66">
        <v>0.12</v>
      </c>
      <c r="H22" s="67"/>
      <c r="I22" s="68">
        <v>0.02</v>
      </c>
      <c r="J22" s="69">
        <v>0.02</v>
      </c>
      <c r="K22" s="69">
        <v>0.02</v>
      </c>
      <c r="L22" s="70">
        <v>0.02</v>
      </c>
      <c r="N22" s="71">
        <v>0.01</v>
      </c>
      <c r="O22" s="72">
        <v>0.05</v>
      </c>
      <c r="P22" s="72">
        <v>0.1</v>
      </c>
      <c r="Q22" s="73">
        <v>0.12</v>
      </c>
      <c r="S22" s="71">
        <v>4.3999999999999997E-2</v>
      </c>
      <c r="T22" s="72">
        <v>0.06</v>
      </c>
      <c r="U22" s="72">
        <v>6.7500000000000004E-2</v>
      </c>
      <c r="V22" s="73">
        <v>0.12</v>
      </c>
    </row>
    <row r="23" spans="1:22" ht="15" customHeight="1" x14ac:dyDescent="0.2">
      <c r="A23" s="22">
        <v>1</v>
      </c>
      <c r="B23" s="388"/>
      <c r="C23" s="29" t="s">
        <v>23</v>
      </c>
      <c r="D23" s="30">
        <v>6</v>
      </c>
      <c r="E23" s="30">
        <v>6</v>
      </c>
      <c r="F23" s="30">
        <v>6</v>
      </c>
      <c r="G23" s="31">
        <v>6</v>
      </c>
      <c r="I23" s="53">
        <v>6</v>
      </c>
      <c r="J23" s="54">
        <v>6</v>
      </c>
      <c r="K23" s="54">
        <v>6</v>
      </c>
      <c r="L23" s="55">
        <v>6</v>
      </c>
      <c r="N23" s="56">
        <v>6</v>
      </c>
      <c r="O23" s="57">
        <v>6</v>
      </c>
      <c r="P23" s="57">
        <v>6</v>
      </c>
      <c r="Q23" s="58">
        <v>6</v>
      </c>
      <c r="S23" s="56">
        <v>5</v>
      </c>
      <c r="T23" s="57">
        <v>5</v>
      </c>
      <c r="U23" s="57">
        <v>5</v>
      </c>
      <c r="V23" s="58">
        <v>5</v>
      </c>
    </row>
    <row r="24" spans="1:22" x14ac:dyDescent="0.2">
      <c r="A24" s="22">
        <v>1</v>
      </c>
      <c r="B24" s="388"/>
      <c r="C24" s="29" t="s">
        <v>24</v>
      </c>
      <c r="D24" s="30">
        <v>0</v>
      </c>
      <c r="E24" s="30">
        <v>0</v>
      </c>
      <c r="F24" s="30">
        <v>0</v>
      </c>
      <c r="G24" s="31">
        <v>0</v>
      </c>
      <c r="I24" s="53">
        <v>0</v>
      </c>
      <c r="J24" s="54">
        <v>0</v>
      </c>
      <c r="K24" s="54">
        <v>0</v>
      </c>
      <c r="L24" s="55">
        <v>0</v>
      </c>
      <c r="N24" s="56">
        <v>0</v>
      </c>
      <c r="O24" s="57">
        <v>0</v>
      </c>
      <c r="P24" s="57">
        <v>0</v>
      </c>
      <c r="Q24" s="58">
        <v>0</v>
      </c>
      <c r="S24" s="56">
        <v>0</v>
      </c>
      <c r="T24" s="57">
        <v>0</v>
      </c>
      <c r="U24" s="57">
        <v>0</v>
      </c>
      <c r="V24" s="58">
        <v>0</v>
      </c>
    </row>
    <row r="25" spans="1:22" ht="15" thickBot="1" x14ac:dyDescent="0.25">
      <c r="A25" s="22">
        <v>1</v>
      </c>
      <c r="B25" s="389"/>
      <c r="C25" s="33" t="s">
        <v>25</v>
      </c>
      <c r="D25" s="34">
        <v>0.26</v>
      </c>
      <c r="E25" s="34">
        <v>0.26</v>
      </c>
      <c r="F25" s="34">
        <v>0.26</v>
      </c>
      <c r="G25" s="35">
        <v>0.26</v>
      </c>
      <c r="I25" s="74">
        <v>0.26</v>
      </c>
      <c r="J25" s="75">
        <v>0.26</v>
      </c>
      <c r="K25" s="75">
        <v>0.26</v>
      </c>
      <c r="L25" s="76">
        <v>0.26</v>
      </c>
      <c r="N25" s="77">
        <v>0.26</v>
      </c>
      <c r="O25" s="78">
        <v>0.26</v>
      </c>
      <c r="P25" s="78">
        <v>0.26</v>
      </c>
      <c r="Q25" s="79">
        <v>0.26</v>
      </c>
      <c r="S25" s="77">
        <v>1.02</v>
      </c>
      <c r="T25" s="78">
        <v>1.02</v>
      </c>
      <c r="U25" s="78">
        <v>1.02</v>
      </c>
      <c r="V25" s="79">
        <v>1.02</v>
      </c>
    </row>
    <row r="26" spans="1:22" ht="15" customHeight="1" thickTop="1" x14ac:dyDescent="0.2">
      <c r="B26" s="390" t="s">
        <v>56</v>
      </c>
      <c r="C26" s="80" t="s">
        <v>57</v>
      </c>
      <c r="D26" s="81">
        <v>0</v>
      </c>
      <c r="E26" s="81">
        <v>0</v>
      </c>
      <c r="F26" s="81">
        <v>0</v>
      </c>
      <c r="G26" s="82">
        <v>0</v>
      </c>
      <c r="H26" s="83"/>
      <c r="I26" s="84">
        <v>344.63</v>
      </c>
      <c r="J26" s="85">
        <v>337.51</v>
      </c>
      <c r="K26" s="85">
        <v>333.57</v>
      </c>
      <c r="L26" s="86">
        <v>305.91000000000003</v>
      </c>
      <c r="N26" s="84">
        <v>75.23</v>
      </c>
      <c r="O26" s="85">
        <v>75.23</v>
      </c>
      <c r="P26" s="85">
        <v>90.16</v>
      </c>
      <c r="Q26" s="86">
        <v>144.58000000000001</v>
      </c>
      <c r="S26" s="59">
        <v>302.58</v>
      </c>
      <c r="T26" s="60">
        <v>298.68</v>
      </c>
      <c r="U26" s="60">
        <v>294.73</v>
      </c>
      <c r="V26" s="61">
        <v>277.27999999999997</v>
      </c>
    </row>
    <row r="27" spans="1:22" x14ac:dyDescent="0.2">
      <c r="B27" s="391"/>
      <c r="C27" s="87" t="s">
        <v>58</v>
      </c>
      <c r="D27" s="88">
        <v>0.95</v>
      </c>
      <c r="E27" s="88">
        <v>0.95</v>
      </c>
      <c r="F27" s="88">
        <v>0.95</v>
      </c>
      <c r="G27" s="89">
        <v>0.95</v>
      </c>
      <c r="H27" s="90"/>
      <c r="I27" s="71">
        <v>0.93</v>
      </c>
      <c r="J27" s="72">
        <v>0.94</v>
      </c>
      <c r="K27" s="72">
        <v>0.96</v>
      </c>
      <c r="L27" s="73">
        <v>0.98</v>
      </c>
      <c r="N27" s="71">
        <v>0.93</v>
      </c>
      <c r="O27" s="72">
        <v>0.94</v>
      </c>
      <c r="P27" s="72">
        <v>0.96</v>
      </c>
      <c r="Q27" s="73">
        <v>0.98</v>
      </c>
      <c r="S27" s="71">
        <v>0.93</v>
      </c>
      <c r="T27" s="72">
        <v>0.94</v>
      </c>
      <c r="U27" s="72">
        <v>0.96</v>
      </c>
      <c r="V27" s="73">
        <v>0.98</v>
      </c>
    </row>
    <row r="28" spans="1:22" ht="14.5" customHeight="1" x14ac:dyDescent="0.2">
      <c r="A28" s="22">
        <v>1</v>
      </c>
      <c r="B28" s="391"/>
      <c r="C28" s="87" t="s">
        <v>59</v>
      </c>
      <c r="D28" s="63">
        <v>4</v>
      </c>
      <c r="E28" s="63">
        <v>4</v>
      </c>
      <c r="F28" s="63">
        <v>4</v>
      </c>
      <c r="G28" s="64">
        <v>4</v>
      </c>
      <c r="H28" s="83"/>
      <c r="I28" s="56">
        <v>4</v>
      </c>
      <c r="J28" s="57">
        <v>4</v>
      </c>
      <c r="K28" s="57">
        <v>4</v>
      </c>
      <c r="L28" s="58">
        <v>4</v>
      </c>
      <c r="N28" s="56">
        <v>4</v>
      </c>
      <c r="O28" s="57">
        <v>4</v>
      </c>
      <c r="P28" s="57">
        <v>4</v>
      </c>
      <c r="Q28" s="58">
        <v>4</v>
      </c>
      <c r="S28" s="56">
        <v>4</v>
      </c>
      <c r="T28" s="57">
        <v>4</v>
      </c>
      <c r="U28" s="57">
        <v>4</v>
      </c>
      <c r="V28" s="58">
        <v>4</v>
      </c>
    </row>
    <row r="29" spans="1:22" x14ac:dyDescent="0.2">
      <c r="B29" s="391"/>
      <c r="C29" s="87" t="s">
        <v>60</v>
      </c>
      <c r="D29" s="63">
        <v>0.83299999999999996</v>
      </c>
      <c r="E29" s="63">
        <v>0.83299999999999996</v>
      </c>
      <c r="F29" s="63">
        <v>0.83299999999999996</v>
      </c>
      <c r="G29" s="64">
        <v>0.83299999999999996</v>
      </c>
      <c r="H29" s="83"/>
      <c r="I29" s="59">
        <v>0.28999999999999998</v>
      </c>
      <c r="J29" s="60">
        <v>0.23</v>
      </c>
      <c r="K29" s="60">
        <v>0.18</v>
      </c>
      <c r="L29" s="61">
        <v>0.08</v>
      </c>
      <c r="N29" s="59">
        <v>0.28999999999999998</v>
      </c>
      <c r="O29" s="60">
        <v>0.23</v>
      </c>
      <c r="P29" s="60">
        <v>0.18</v>
      </c>
      <c r="Q29" s="61">
        <v>0.08</v>
      </c>
      <c r="S29" s="59">
        <v>0.28999999999999998</v>
      </c>
      <c r="T29" s="60">
        <v>0.23</v>
      </c>
      <c r="U29" s="60">
        <v>0.18</v>
      </c>
      <c r="V29" s="61">
        <v>0.08</v>
      </c>
    </row>
    <row r="30" spans="1:22" ht="15" thickBot="1" x14ac:dyDescent="0.25">
      <c r="A30" s="22">
        <v>1</v>
      </c>
      <c r="B30" s="392"/>
      <c r="C30" s="91" t="s">
        <v>61</v>
      </c>
      <c r="D30" s="92">
        <v>21.6</v>
      </c>
      <c r="E30" s="92">
        <v>21.6</v>
      </c>
      <c r="F30" s="92">
        <v>21.6</v>
      </c>
      <c r="G30" s="93">
        <v>21.6</v>
      </c>
      <c r="H30" s="83"/>
      <c r="I30" s="77">
        <v>21.6</v>
      </c>
      <c r="J30" s="78">
        <v>21.6</v>
      </c>
      <c r="K30" s="78">
        <v>21.6</v>
      </c>
      <c r="L30" s="79">
        <v>21.6</v>
      </c>
      <c r="N30" s="77">
        <v>21.6</v>
      </c>
      <c r="O30" s="78">
        <v>21.6</v>
      </c>
      <c r="P30" s="78">
        <v>21.6</v>
      </c>
      <c r="Q30" s="79">
        <v>21.6</v>
      </c>
      <c r="S30" s="77">
        <v>21.6</v>
      </c>
      <c r="T30" s="78">
        <v>21.6</v>
      </c>
      <c r="U30" s="78">
        <v>21.6</v>
      </c>
      <c r="V30" s="79">
        <v>21.6</v>
      </c>
    </row>
    <row r="31" spans="1:22" ht="15" customHeight="1" thickTop="1" x14ac:dyDescent="0.2">
      <c r="B31" s="390" t="s">
        <v>62</v>
      </c>
      <c r="C31" s="80" t="s">
        <v>63</v>
      </c>
      <c r="D31" s="81">
        <v>0</v>
      </c>
      <c r="E31" s="81">
        <v>0</v>
      </c>
      <c r="F31" s="81">
        <v>0</v>
      </c>
      <c r="G31" s="82">
        <v>0</v>
      </c>
      <c r="H31" s="83"/>
      <c r="I31" s="84">
        <v>366.75</v>
      </c>
      <c r="J31" s="85">
        <v>357.54</v>
      </c>
      <c r="K31" s="85">
        <v>349.02</v>
      </c>
      <c r="L31" s="86">
        <v>312.14999999999998</v>
      </c>
      <c r="N31" s="84">
        <v>80.69</v>
      </c>
      <c r="O31" s="85">
        <v>79.69</v>
      </c>
      <c r="P31" s="85">
        <v>94.33</v>
      </c>
      <c r="Q31" s="86">
        <v>144.58000000000001</v>
      </c>
      <c r="S31" s="84">
        <v>332.84</v>
      </c>
      <c r="T31" s="85">
        <v>328.55</v>
      </c>
      <c r="U31" s="85">
        <v>324.2</v>
      </c>
      <c r="V31" s="86">
        <v>305</v>
      </c>
    </row>
    <row r="32" spans="1:22" x14ac:dyDescent="0.2">
      <c r="B32" s="391"/>
      <c r="C32" s="87" t="s">
        <v>64</v>
      </c>
      <c r="D32" s="63">
        <v>0</v>
      </c>
      <c r="E32" s="63">
        <v>0</v>
      </c>
      <c r="F32" s="63">
        <v>0</v>
      </c>
      <c r="G32" s="64">
        <v>0</v>
      </c>
      <c r="H32" s="90"/>
      <c r="I32" s="59">
        <v>1628.14</v>
      </c>
      <c r="J32" s="60">
        <v>1492.02</v>
      </c>
      <c r="K32" s="60">
        <v>1291.76</v>
      </c>
      <c r="L32" s="61">
        <v>860.43</v>
      </c>
      <c r="N32" s="59">
        <v>8.5</v>
      </c>
      <c r="O32" s="60">
        <v>8.5</v>
      </c>
      <c r="P32" s="60">
        <v>12</v>
      </c>
      <c r="Q32" s="61">
        <v>29.5</v>
      </c>
      <c r="S32" s="56">
        <v>20</v>
      </c>
      <c r="T32" s="57">
        <v>20</v>
      </c>
      <c r="U32" s="57">
        <v>20</v>
      </c>
      <c r="V32" s="58">
        <v>20</v>
      </c>
    </row>
    <row r="33" spans="1:22" x14ac:dyDescent="0.2">
      <c r="B33" s="391"/>
      <c r="C33" s="87" t="s">
        <v>65</v>
      </c>
      <c r="D33" s="63">
        <v>8</v>
      </c>
      <c r="E33" s="63">
        <v>8</v>
      </c>
      <c r="F33" s="63">
        <v>8</v>
      </c>
      <c r="G33" s="64">
        <v>8</v>
      </c>
      <c r="H33" s="83"/>
      <c r="I33" s="59">
        <v>4.34</v>
      </c>
      <c r="J33" s="60">
        <v>3.87</v>
      </c>
      <c r="K33" s="60">
        <v>3.35</v>
      </c>
      <c r="L33" s="61">
        <v>2.5</v>
      </c>
      <c r="N33" s="59">
        <v>4.34</v>
      </c>
      <c r="O33" s="60">
        <v>3.87</v>
      </c>
      <c r="P33" s="60">
        <v>3.35</v>
      </c>
      <c r="Q33" s="61">
        <v>2.5</v>
      </c>
      <c r="S33" s="59">
        <v>4.34</v>
      </c>
      <c r="T33" s="60">
        <v>3.87</v>
      </c>
      <c r="U33" s="60">
        <v>3.35</v>
      </c>
      <c r="V33" s="61">
        <v>2.5</v>
      </c>
    </row>
    <row r="34" spans="1:22" x14ac:dyDescent="0.2">
      <c r="B34" s="391"/>
      <c r="C34" s="87" t="s">
        <v>66</v>
      </c>
      <c r="D34" s="63">
        <v>75</v>
      </c>
      <c r="E34" s="63">
        <v>75</v>
      </c>
      <c r="F34" s="63">
        <v>75</v>
      </c>
      <c r="G34" s="64">
        <v>75</v>
      </c>
      <c r="H34" s="83"/>
      <c r="I34" s="56">
        <v>75</v>
      </c>
      <c r="J34" s="57">
        <v>75</v>
      </c>
      <c r="K34" s="57">
        <v>75</v>
      </c>
      <c r="L34" s="58">
        <v>75</v>
      </c>
      <c r="N34" s="56">
        <v>75</v>
      </c>
      <c r="O34" s="57">
        <v>75</v>
      </c>
      <c r="P34" s="57">
        <v>75</v>
      </c>
      <c r="Q34" s="58">
        <v>75</v>
      </c>
      <c r="S34" s="56">
        <v>75</v>
      </c>
      <c r="T34" s="57">
        <v>75</v>
      </c>
      <c r="U34" s="57">
        <v>75</v>
      </c>
      <c r="V34" s="58">
        <v>75</v>
      </c>
    </row>
    <row r="35" spans="1:22" x14ac:dyDescent="0.2">
      <c r="A35" s="22">
        <v>1</v>
      </c>
      <c r="B35" s="391"/>
      <c r="C35" s="87" t="s">
        <v>67</v>
      </c>
      <c r="D35" s="94">
        <v>0.97</v>
      </c>
      <c r="E35" s="94">
        <v>0.97</v>
      </c>
      <c r="F35" s="94">
        <v>0.97</v>
      </c>
      <c r="G35" s="95">
        <v>0.97</v>
      </c>
      <c r="H35" s="96"/>
      <c r="I35" s="97">
        <v>0.97</v>
      </c>
      <c r="J35" s="98">
        <v>0.97</v>
      </c>
      <c r="K35" s="98">
        <v>0.97</v>
      </c>
      <c r="L35" s="99">
        <v>0.97</v>
      </c>
      <c r="N35" s="97">
        <v>0.97</v>
      </c>
      <c r="O35" s="98">
        <v>0.97</v>
      </c>
      <c r="P35" s="98">
        <v>0.97</v>
      </c>
      <c r="Q35" s="99">
        <v>0.97</v>
      </c>
      <c r="S35" s="97">
        <v>0.97</v>
      </c>
      <c r="T35" s="98">
        <v>0.97</v>
      </c>
      <c r="U35" s="98">
        <v>0.97</v>
      </c>
      <c r="V35" s="99">
        <v>0.97</v>
      </c>
    </row>
    <row r="36" spans="1:22" x14ac:dyDescent="0.2">
      <c r="A36" s="22">
        <v>1</v>
      </c>
      <c r="B36" s="391"/>
      <c r="C36" s="87" t="s">
        <v>68</v>
      </c>
      <c r="D36" s="63">
        <v>110</v>
      </c>
      <c r="E36" s="63">
        <v>110</v>
      </c>
      <c r="F36" s="63">
        <v>110</v>
      </c>
      <c r="G36" s="64">
        <v>110</v>
      </c>
      <c r="H36" s="83"/>
      <c r="I36" s="56">
        <v>130</v>
      </c>
      <c r="J36" s="57">
        <v>130</v>
      </c>
      <c r="K36" s="57">
        <v>130</v>
      </c>
      <c r="L36" s="58">
        <v>130</v>
      </c>
      <c r="N36" s="56">
        <v>130</v>
      </c>
      <c r="O36" s="57">
        <v>130</v>
      </c>
      <c r="P36" s="57">
        <v>130</v>
      </c>
      <c r="Q36" s="58">
        <v>130</v>
      </c>
      <c r="S36" s="56">
        <v>130</v>
      </c>
      <c r="T36" s="57">
        <v>130</v>
      </c>
      <c r="U36" s="57">
        <v>130</v>
      </c>
      <c r="V36" s="58">
        <v>130</v>
      </c>
    </row>
    <row r="37" spans="1:22" ht="15" thickBot="1" x14ac:dyDescent="0.25">
      <c r="A37" s="22">
        <v>1</v>
      </c>
      <c r="B37" s="392"/>
      <c r="C37" s="91" t="s">
        <v>69</v>
      </c>
      <c r="D37" s="92">
        <v>-0.68110000000000004</v>
      </c>
      <c r="E37" s="92">
        <v>-0.68110000000000004</v>
      </c>
      <c r="F37" s="92">
        <v>-0.68110000000000004</v>
      </c>
      <c r="G37" s="93">
        <v>-0.68110000000000004</v>
      </c>
      <c r="H37" s="83"/>
      <c r="I37" s="77">
        <v>-0.68110000000000004</v>
      </c>
      <c r="J37" s="78">
        <v>-0.68110000000000004</v>
      </c>
      <c r="K37" s="78">
        <v>-0.68110000000000004</v>
      </c>
      <c r="L37" s="79">
        <v>-0.68110000000000004</v>
      </c>
      <c r="N37" s="77">
        <v>-0.68110000000000004</v>
      </c>
      <c r="O37" s="78">
        <v>-0.68110000000000004</v>
      </c>
      <c r="P37" s="78">
        <v>-0.68110000000000004</v>
      </c>
      <c r="Q37" s="79">
        <v>-0.68110000000000004</v>
      </c>
      <c r="S37" s="77">
        <v>-0.68110000000000004</v>
      </c>
      <c r="T37" s="78">
        <v>-0.68110000000000004</v>
      </c>
      <c r="U37" s="78">
        <v>-0.68110000000000004</v>
      </c>
      <c r="V37" s="79">
        <v>-0.68110000000000004</v>
      </c>
    </row>
    <row r="38" spans="1:22" ht="15" customHeight="1" thickTop="1" x14ac:dyDescent="0.2">
      <c r="A38" s="22">
        <v>1</v>
      </c>
      <c r="B38" s="387" t="s">
        <v>26</v>
      </c>
      <c r="C38" s="100" t="s">
        <v>27</v>
      </c>
      <c r="D38" s="41">
        <v>10</v>
      </c>
      <c r="E38" s="41">
        <v>10</v>
      </c>
      <c r="F38" s="41">
        <v>10</v>
      </c>
      <c r="G38" s="42">
        <v>10</v>
      </c>
      <c r="I38" s="40">
        <v>10</v>
      </c>
      <c r="J38" s="41">
        <v>10</v>
      </c>
      <c r="K38" s="41">
        <v>10</v>
      </c>
      <c r="L38" s="42">
        <v>10</v>
      </c>
      <c r="N38" s="40">
        <v>10</v>
      </c>
      <c r="O38" s="41">
        <v>10</v>
      </c>
      <c r="P38" s="41">
        <v>10</v>
      </c>
      <c r="Q38" s="42">
        <v>10</v>
      </c>
      <c r="S38" s="40">
        <v>10</v>
      </c>
      <c r="T38" s="41">
        <v>10</v>
      </c>
      <c r="U38" s="41">
        <v>10</v>
      </c>
      <c r="V38" s="42">
        <v>10</v>
      </c>
    </row>
    <row r="39" spans="1:22" x14ac:dyDescent="0.2">
      <c r="A39" s="22">
        <v>1</v>
      </c>
      <c r="B39" s="388"/>
      <c r="C39" s="29" t="s">
        <v>28</v>
      </c>
      <c r="D39" s="30">
        <v>18</v>
      </c>
      <c r="E39" s="30">
        <v>18</v>
      </c>
      <c r="F39" s="30">
        <v>18</v>
      </c>
      <c r="G39" s="31">
        <v>18</v>
      </c>
      <c r="I39" s="32">
        <v>18</v>
      </c>
      <c r="J39" s="30">
        <v>18</v>
      </c>
      <c r="K39" s="30">
        <v>18</v>
      </c>
      <c r="L39" s="31">
        <v>18</v>
      </c>
      <c r="N39" s="32">
        <v>18</v>
      </c>
      <c r="O39" s="30">
        <v>18</v>
      </c>
      <c r="P39" s="30">
        <v>18</v>
      </c>
      <c r="Q39" s="31">
        <v>18</v>
      </c>
      <c r="S39" s="32">
        <v>18</v>
      </c>
      <c r="T39" s="30">
        <v>18</v>
      </c>
      <c r="U39" s="30">
        <v>18</v>
      </c>
      <c r="V39" s="31">
        <v>18</v>
      </c>
    </row>
    <row r="40" spans="1:22" x14ac:dyDescent="0.2">
      <c r="B40" s="388"/>
      <c r="C40" s="43" t="s">
        <v>29</v>
      </c>
      <c r="D40" s="44">
        <v>6.1000000000000004E-3</v>
      </c>
      <c r="E40" s="44">
        <v>5.8999999999999999E-3</v>
      </c>
      <c r="F40" s="44">
        <v>5.4999999999999997E-3</v>
      </c>
      <c r="G40" s="45">
        <v>4.0000000000000001E-3</v>
      </c>
      <c r="I40" s="46">
        <v>6.1000000000000004E-3</v>
      </c>
      <c r="J40" s="44">
        <v>5.8999999999999999E-3</v>
      </c>
      <c r="K40" s="44">
        <v>5.4999999999999997E-3</v>
      </c>
      <c r="L40" s="45">
        <v>4.0000000000000001E-3</v>
      </c>
      <c r="N40" s="46">
        <v>6.1000000000000004E-3</v>
      </c>
      <c r="O40" s="44">
        <v>5.8999999999999999E-3</v>
      </c>
      <c r="P40" s="44">
        <v>5.4999999999999997E-3</v>
      </c>
      <c r="Q40" s="45">
        <v>4.0000000000000001E-3</v>
      </c>
      <c r="S40" s="46">
        <v>6.1000000000000004E-3</v>
      </c>
      <c r="T40" s="44">
        <v>5.8999999999999999E-3</v>
      </c>
      <c r="U40" s="44">
        <v>5.4999999999999997E-3</v>
      </c>
      <c r="V40" s="45">
        <v>4.0000000000000001E-3</v>
      </c>
    </row>
    <row r="41" spans="1:22" x14ac:dyDescent="0.2">
      <c r="A41" s="22">
        <v>1</v>
      </c>
      <c r="B41" s="388"/>
      <c r="C41" s="29" t="s">
        <v>30</v>
      </c>
      <c r="D41" s="30">
        <v>0.50600000000000001</v>
      </c>
      <c r="E41" s="30">
        <v>0.50600000000000001</v>
      </c>
      <c r="F41" s="30">
        <v>0.50600000000000001</v>
      </c>
      <c r="G41" s="31">
        <v>0.50600000000000001</v>
      </c>
      <c r="I41" s="32">
        <v>0.50600000000000001</v>
      </c>
      <c r="J41" s="30">
        <v>0.50600000000000001</v>
      </c>
      <c r="K41" s="30">
        <v>0.50600000000000001</v>
      </c>
      <c r="L41" s="31">
        <v>0.50600000000000001</v>
      </c>
      <c r="N41" s="32">
        <v>0.50600000000000001</v>
      </c>
      <c r="O41" s="30">
        <v>0.50600000000000001</v>
      </c>
      <c r="P41" s="30">
        <v>0.50600000000000001</v>
      </c>
      <c r="Q41" s="31">
        <v>0.50600000000000001</v>
      </c>
      <c r="S41" s="32">
        <v>0.50600000000000001</v>
      </c>
      <c r="T41" s="30">
        <v>0.50600000000000001</v>
      </c>
      <c r="U41" s="30">
        <v>0.50600000000000001</v>
      </c>
      <c r="V41" s="31">
        <v>0.50600000000000001</v>
      </c>
    </row>
    <row r="42" spans="1:22" ht="15" thickBot="1" x14ac:dyDescent="0.25">
      <c r="A42" s="22">
        <v>1</v>
      </c>
      <c r="B42" s="389"/>
      <c r="C42" s="33" t="s">
        <v>31</v>
      </c>
      <c r="D42" s="34">
        <v>0.6</v>
      </c>
      <c r="E42" s="34">
        <v>0.6</v>
      </c>
      <c r="F42" s="34">
        <v>0.6</v>
      </c>
      <c r="G42" s="35">
        <v>0.6</v>
      </c>
      <c r="I42" s="36">
        <v>0.6</v>
      </c>
      <c r="J42" s="34">
        <v>0.6</v>
      </c>
      <c r="K42" s="34">
        <v>0.6</v>
      </c>
      <c r="L42" s="35">
        <v>0.6</v>
      </c>
      <c r="N42" s="36">
        <v>0.6</v>
      </c>
      <c r="O42" s="34">
        <v>0.6</v>
      </c>
      <c r="P42" s="34">
        <v>0.6</v>
      </c>
      <c r="Q42" s="35">
        <v>0.6</v>
      </c>
      <c r="S42" s="36">
        <v>0.6</v>
      </c>
      <c r="T42" s="34">
        <v>0.6</v>
      </c>
      <c r="U42" s="34">
        <v>0.6</v>
      </c>
      <c r="V42" s="35">
        <v>0.6</v>
      </c>
    </row>
    <row r="43" spans="1:22" ht="15" customHeight="1" thickTop="1" x14ac:dyDescent="0.2">
      <c r="B43" s="390" t="s">
        <v>70</v>
      </c>
      <c r="C43" s="80" t="s">
        <v>71</v>
      </c>
      <c r="D43" s="101">
        <v>0.1</v>
      </c>
      <c r="E43" s="101">
        <v>0.1</v>
      </c>
      <c r="F43" s="101">
        <v>0.1</v>
      </c>
      <c r="G43" s="102">
        <v>0.1</v>
      </c>
      <c r="H43" s="90"/>
      <c r="I43" s="103">
        <v>0.05</v>
      </c>
      <c r="J43" s="104">
        <v>0.05</v>
      </c>
      <c r="K43" s="104">
        <v>0.05</v>
      </c>
      <c r="L43" s="105">
        <v>0.05</v>
      </c>
      <c r="N43" s="103">
        <v>0.4</v>
      </c>
      <c r="O43" s="104">
        <v>0.4</v>
      </c>
      <c r="P43" s="104">
        <v>0.4</v>
      </c>
      <c r="Q43" s="105">
        <v>0.4</v>
      </c>
      <c r="S43" s="103">
        <v>0.4</v>
      </c>
      <c r="T43" s="104">
        <v>0.4</v>
      </c>
      <c r="U43" s="104">
        <v>0.4</v>
      </c>
      <c r="V43" s="105">
        <v>0.4</v>
      </c>
    </row>
    <row r="44" spans="1:22" x14ac:dyDescent="0.2">
      <c r="B44" s="391"/>
      <c r="C44" s="87" t="s">
        <v>72</v>
      </c>
      <c r="D44" s="88">
        <v>0.95</v>
      </c>
      <c r="E44" s="88">
        <v>0.95</v>
      </c>
      <c r="F44" s="88">
        <v>0.95</v>
      </c>
      <c r="G44" s="89">
        <v>0.95</v>
      </c>
      <c r="H44" s="90"/>
      <c r="I44" s="71">
        <v>0.81</v>
      </c>
      <c r="J44" s="72">
        <v>0.85</v>
      </c>
      <c r="K44" s="72">
        <v>0.89</v>
      </c>
      <c r="L44" s="73">
        <v>1</v>
      </c>
      <c r="N44" s="106">
        <v>0.8</v>
      </c>
      <c r="O44" s="107">
        <v>0.8</v>
      </c>
      <c r="P44" s="107">
        <v>0.8</v>
      </c>
      <c r="Q44" s="108">
        <v>0.8</v>
      </c>
      <c r="S44" s="106">
        <v>0.8</v>
      </c>
      <c r="T44" s="107">
        <v>0.8</v>
      </c>
      <c r="U44" s="107">
        <v>0.8</v>
      </c>
      <c r="V44" s="108">
        <v>0.8</v>
      </c>
    </row>
    <row r="45" spans="1:22" x14ac:dyDescent="0.2">
      <c r="A45" s="22">
        <v>1</v>
      </c>
      <c r="B45" s="391"/>
      <c r="C45" s="87" t="s">
        <v>73</v>
      </c>
      <c r="D45" s="88">
        <v>0</v>
      </c>
      <c r="E45" s="88">
        <v>0</v>
      </c>
      <c r="F45" s="88">
        <v>0</v>
      </c>
      <c r="G45" s="89">
        <v>0</v>
      </c>
      <c r="H45" s="90"/>
      <c r="I45" s="106">
        <v>0</v>
      </c>
      <c r="J45" s="107">
        <v>0</v>
      </c>
      <c r="K45" s="107">
        <v>0</v>
      </c>
      <c r="L45" s="108">
        <v>0</v>
      </c>
      <c r="N45" s="106">
        <v>0</v>
      </c>
      <c r="O45" s="107">
        <v>0</v>
      </c>
      <c r="P45" s="107">
        <v>0</v>
      </c>
      <c r="Q45" s="108">
        <v>0</v>
      </c>
      <c r="S45" s="106">
        <v>0</v>
      </c>
      <c r="T45" s="107">
        <v>0</v>
      </c>
      <c r="U45" s="107">
        <v>0</v>
      </c>
      <c r="V45" s="108">
        <v>0</v>
      </c>
    </row>
    <row r="46" spans="1:22" x14ac:dyDescent="0.2">
      <c r="A46" s="22">
        <v>1</v>
      </c>
      <c r="B46" s="391"/>
      <c r="C46" s="87" t="s">
        <v>74</v>
      </c>
      <c r="D46" s="88">
        <v>0</v>
      </c>
      <c r="E46" s="88">
        <v>0</v>
      </c>
      <c r="F46" s="88">
        <v>0</v>
      </c>
      <c r="G46" s="89">
        <v>0</v>
      </c>
      <c r="H46" s="90"/>
      <c r="I46" s="106">
        <v>0</v>
      </c>
      <c r="J46" s="107">
        <v>0</v>
      </c>
      <c r="K46" s="107">
        <v>0</v>
      </c>
      <c r="L46" s="108">
        <v>0</v>
      </c>
      <c r="N46" s="106">
        <v>0</v>
      </c>
      <c r="O46" s="107">
        <v>0</v>
      </c>
      <c r="P46" s="107">
        <v>0</v>
      </c>
      <c r="Q46" s="108">
        <v>0</v>
      </c>
      <c r="S46" s="106">
        <v>0</v>
      </c>
      <c r="T46" s="107">
        <v>0</v>
      </c>
      <c r="U46" s="107">
        <v>0</v>
      </c>
      <c r="V46" s="108">
        <v>0</v>
      </c>
    </row>
    <row r="47" spans="1:22" x14ac:dyDescent="0.2">
      <c r="A47" s="22">
        <v>1</v>
      </c>
      <c r="B47" s="391"/>
      <c r="C47" s="87" t="s">
        <v>75</v>
      </c>
      <c r="D47" s="63">
        <v>60</v>
      </c>
      <c r="E47" s="63">
        <v>60</v>
      </c>
      <c r="F47" s="63">
        <v>60</v>
      </c>
      <c r="G47" s="64">
        <v>60</v>
      </c>
      <c r="H47" s="83"/>
      <c r="I47" s="56">
        <v>60</v>
      </c>
      <c r="J47" s="57">
        <v>60</v>
      </c>
      <c r="K47" s="57">
        <v>60</v>
      </c>
      <c r="L47" s="58">
        <v>60</v>
      </c>
      <c r="N47" s="56">
        <v>60</v>
      </c>
      <c r="O47" s="57">
        <v>60</v>
      </c>
      <c r="P47" s="57">
        <v>60</v>
      </c>
      <c r="Q47" s="58">
        <v>60</v>
      </c>
      <c r="S47" s="56">
        <v>60</v>
      </c>
      <c r="T47" s="57">
        <v>60</v>
      </c>
      <c r="U47" s="57">
        <v>60</v>
      </c>
      <c r="V47" s="58">
        <v>60</v>
      </c>
    </row>
    <row r="48" spans="1:22" x14ac:dyDescent="0.2">
      <c r="A48" s="22">
        <v>1</v>
      </c>
      <c r="B48" s="391"/>
      <c r="C48" s="87" t="s">
        <v>76</v>
      </c>
      <c r="D48" s="63">
        <v>0.2</v>
      </c>
      <c r="E48" s="63">
        <v>0.2</v>
      </c>
      <c r="F48" s="63">
        <v>0.2</v>
      </c>
      <c r="G48" s="64">
        <v>0.2</v>
      </c>
      <c r="H48" s="83"/>
      <c r="I48" s="56">
        <v>0.2</v>
      </c>
      <c r="J48" s="57">
        <v>0.2</v>
      </c>
      <c r="K48" s="57">
        <v>0.2</v>
      </c>
      <c r="L48" s="58">
        <v>0.2</v>
      </c>
      <c r="N48" s="56">
        <v>0.2</v>
      </c>
      <c r="O48" s="57">
        <v>0.2</v>
      </c>
      <c r="P48" s="57">
        <v>0.2</v>
      </c>
      <c r="Q48" s="58">
        <v>0.2</v>
      </c>
      <c r="S48" s="56">
        <v>0.2</v>
      </c>
      <c r="T48" s="57">
        <v>0.2</v>
      </c>
      <c r="U48" s="57">
        <v>0.2</v>
      </c>
      <c r="V48" s="58">
        <v>0.2</v>
      </c>
    </row>
    <row r="49" spans="1:22" x14ac:dyDescent="0.2">
      <c r="A49" s="22">
        <v>1</v>
      </c>
      <c r="B49" s="391"/>
      <c r="C49" s="87" t="s">
        <v>77</v>
      </c>
      <c r="D49" s="94">
        <v>0</v>
      </c>
      <c r="E49" s="94">
        <v>0</v>
      </c>
      <c r="F49" s="94">
        <v>0</v>
      </c>
      <c r="G49" s="95">
        <v>0</v>
      </c>
      <c r="H49" s="96"/>
      <c r="I49" s="97">
        <v>0</v>
      </c>
      <c r="J49" s="98">
        <v>0</v>
      </c>
      <c r="K49" s="98">
        <v>0</v>
      </c>
      <c r="L49" s="99">
        <v>0</v>
      </c>
      <c r="N49" s="97">
        <v>0</v>
      </c>
      <c r="O49" s="98">
        <v>0</v>
      </c>
      <c r="P49" s="98">
        <v>0</v>
      </c>
      <c r="Q49" s="99">
        <v>0</v>
      </c>
      <c r="S49" s="97">
        <v>0</v>
      </c>
      <c r="T49" s="98">
        <v>0</v>
      </c>
      <c r="U49" s="98">
        <v>0</v>
      </c>
      <c r="V49" s="99">
        <v>0</v>
      </c>
    </row>
    <row r="50" spans="1:22" ht="15" customHeight="1" x14ac:dyDescent="0.2">
      <c r="A50" s="22">
        <v>1</v>
      </c>
      <c r="B50" s="391"/>
      <c r="C50" s="87" t="s">
        <v>78</v>
      </c>
      <c r="D50" s="63">
        <v>55</v>
      </c>
      <c r="E50" s="63">
        <v>55</v>
      </c>
      <c r="F50" s="63">
        <v>55</v>
      </c>
      <c r="G50" s="64">
        <v>55</v>
      </c>
      <c r="H50" s="83"/>
      <c r="I50" s="56">
        <v>55</v>
      </c>
      <c r="J50" s="57">
        <v>55</v>
      </c>
      <c r="K50" s="57">
        <v>55</v>
      </c>
      <c r="L50" s="58">
        <v>55</v>
      </c>
      <c r="N50" s="56">
        <v>55</v>
      </c>
      <c r="O50" s="57">
        <v>55</v>
      </c>
      <c r="P50" s="57">
        <v>55</v>
      </c>
      <c r="Q50" s="58">
        <v>55</v>
      </c>
      <c r="S50" s="56">
        <v>1</v>
      </c>
      <c r="T50" s="57">
        <v>1</v>
      </c>
      <c r="U50" s="57">
        <v>1</v>
      </c>
      <c r="V50" s="58">
        <v>1</v>
      </c>
    </row>
    <row r="51" spans="1:22" ht="15" thickBot="1" x14ac:dyDescent="0.25">
      <c r="A51" s="22">
        <v>1</v>
      </c>
      <c r="B51" s="392"/>
      <c r="C51" s="91" t="s">
        <v>79</v>
      </c>
      <c r="D51" s="92">
        <v>100</v>
      </c>
      <c r="E51" s="92">
        <v>100</v>
      </c>
      <c r="F51" s="92">
        <v>100</v>
      </c>
      <c r="G51" s="93">
        <v>100</v>
      </c>
      <c r="H51" s="83"/>
      <c r="I51" s="77">
        <v>100</v>
      </c>
      <c r="J51" s="78">
        <v>100</v>
      </c>
      <c r="K51" s="78">
        <v>100</v>
      </c>
      <c r="L51" s="79">
        <v>100</v>
      </c>
      <c r="N51" s="77">
        <v>100</v>
      </c>
      <c r="O51" s="78">
        <v>100</v>
      </c>
      <c r="P51" s="78">
        <v>100</v>
      </c>
      <c r="Q51" s="79">
        <v>100</v>
      </c>
      <c r="S51" s="77">
        <v>100</v>
      </c>
      <c r="T51" s="78">
        <v>100</v>
      </c>
      <c r="U51" s="78">
        <v>100</v>
      </c>
      <c r="V51" s="79">
        <v>100</v>
      </c>
    </row>
    <row r="52" spans="1:22" ht="15" customHeight="1" thickTop="1" x14ac:dyDescent="0.2">
      <c r="A52" s="22">
        <v>1</v>
      </c>
      <c r="B52" s="387" t="s">
        <v>32</v>
      </c>
      <c r="C52" s="100" t="s">
        <v>33</v>
      </c>
      <c r="D52" s="109">
        <v>1</v>
      </c>
      <c r="E52" s="109">
        <v>1</v>
      </c>
      <c r="F52" s="109">
        <v>1</v>
      </c>
      <c r="G52" s="110">
        <v>1</v>
      </c>
      <c r="H52" s="67"/>
      <c r="I52" s="111">
        <v>1</v>
      </c>
      <c r="J52" s="112">
        <v>1</v>
      </c>
      <c r="K52" s="112">
        <v>1</v>
      </c>
      <c r="L52" s="113">
        <v>1</v>
      </c>
      <c r="N52" s="111">
        <v>1</v>
      </c>
      <c r="O52" s="112">
        <v>1</v>
      </c>
      <c r="P52" s="112">
        <v>1</v>
      </c>
      <c r="Q52" s="113">
        <v>1</v>
      </c>
      <c r="S52" s="111">
        <v>1</v>
      </c>
      <c r="T52" s="112">
        <v>1</v>
      </c>
      <c r="U52" s="112">
        <v>1</v>
      </c>
      <c r="V52" s="113">
        <v>1</v>
      </c>
    </row>
    <row r="53" spans="1:22" x14ac:dyDescent="0.2">
      <c r="B53" s="388"/>
      <c r="C53" s="29" t="s">
        <v>34</v>
      </c>
      <c r="D53" s="114" t="s">
        <v>112</v>
      </c>
      <c r="E53" s="114" t="s">
        <v>112</v>
      </c>
      <c r="F53" s="114" t="s">
        <v>112</v>
      </c>
      <c r="G53" s="115" t="s">
        <v>112</v>
      </c>
      <c r="H53" s="67"/>
      <c r="I53" s="116">
        <v>0.86</v>
      </c>
      <c r="J53" s="65">
        <v>0.88</v>
      </c>
      <c r="K53" s="65">
        <v>0.9</v>
      </c>
      <c r="L53" s="66">
        <v>0.96</v>
      </c>
      <c r="N53" s="117" t="s">
        <v>112</v>
      </c>
      <c r="O53" s="114" t="s">
        <v>112</v>
      </c>
      <c r="P53" s="114" t="s">
        <v>112</v>
      </c>
      <c r="Q53" s="115" t="s">
        <v>112</v>
      </c>
      <c r="S53" s="117" t="s">
        <v>112</v>
      </c>
      <c r="T53" s="114" t="s">
        <v>112</v>
      </c>
      <c r="U53" s="114" t="s">
        <v>112</v>
      </c>
      <c r="V53" s="115" t="s">
        <v>112</v>
      </c>
    </row>
    <row r="54" spans="1:22" x14ac:dyDescent="0.2">
      <c r="B54" s="388"/>
      <c r="C54" s="29" t="s">
        <v>35</v>
      </c>
      <c r="D54" s="60">
        <v>3.5</v>
      </c>
      <c r="E54" s="60">
        <v>3.1</v>
      </c>
      <c r="F54" s="60">
        <v>2.8</v>
      </c>
      <c r="G54" s="61">
        <v>2.5</v>
      </c>
      <c r="I54" s="59">
        <v>3.5</v>
      </c>
      <c r="J54" s="60">
        <v>3.1</v>
      </c>
      <c r="K54" s="60">
        <v>2.8</v>
      </c>
      <c r="L54" s="61">
        <v>2.5</v>
      </c>
      <c r="N54" s="59">
        <v>3.5</v>
      </c>
      <c r="O54" s="60">
        <v>3.1</v>
      </c>
      <c r="P54" s="60">
        <v>2.8</v>
      </c>
      <c r="Q54" s="61">
        <v>2.5</v>
      </c>
      <c r="S54" s="59">
        <v>3.5</v>
      </c>
      <c r="T54" s="60">
        <v>3.1</v>
      </c>
      <c r="U54" s="60">
        <v>2.8</v>
      </c>
      <c r="V54" s="61">
        <v>2.5</v>
      </c>
    </row>
    <row r="55" spans="1:22" x14ac:dyDescent="0.2">
      <c r="A55" s="22">
        <v>1</v>
      </c>
      <c r="B55" s="388"/>
      <c r="C55" s="29" t="s">
        <v>36</v>
      </c>
      <c r="D55" s="30" t="b">
        <v>0</v>
      </c>
      <c r="E55" s="30" t="b">
        <v>0</v>
      </c>
      <c r="F55" s="30" t="b">
        <v>0</v>
      </c>
      <c r="G55" s="31" t="b">
        <v>0</v>
      </c>
      <c r="I55" s="32" t="b">
        <v>0</v>
      </c>
      <c r="J55" s="30" t="b">
        <v>0</v>
      </c>
      <c r="K55" s="30" t="b">
        <v>0</v>
      </c>
      <c r="L55" s="31" t="b">
        <v>0</v>
      </c>
      <c r="N55" s="32" t="b">
        <v>0</v>
      </c>
      <c r="O55" s="30" t="b">
        <v>0</v>
      </c>
      <c r="P55" s="30" t="b">
        <v>0</v>
      </c>
      <c r="Q55" s="31" t="b">
        <v>0</v>
      </c>
      <c r="S55" s="32" t="b">
        <v>0</v>
      </c>
      <c r="T55" s="30" t="b">
        <v>0</v>
      </c>
      <c r="U55" s="30" t="b">
        <v>0</v>
      </c>
      <c r="V55" s="31" t="b">
        <v>0</v>
      </c>
    </row>
    <row r="56" spans="1:22" x14ac:dyDescent="0.2">
      <c r="A56" s="22">
        <v>1</v>
      </c>
      <c r="B56" s="388"/>
      <c r="C56" s="29" t="s">
        <v>37</v>
      </c>
      <c r="D56" s="30">
        <v>300</v>
      </c>
      <c r="E56" s="30">
        <v>300</v>
      </c>
      <c r="F56" s="30">
        <v>300</v>
      </c>
      <c r="G56" s="31">
        <v>300</v>
      </c>
      <c r="I56" s="56">
        <v>300</v>
      </c>
      <c r="J56" s="57">
        <v>300</v>
      </c>
      <c r="K56" s="57">
        <v>300</v>
      </c>
      <c r="L56" s="58">
        <v>300</v>
      </c>
      <c r="N56" s="56">
        <v>300</v>
      </c>
      <c r="O56" s="57">
        <v>300</v>
      </c>
      <c r="P56" s="57">
        <v>300</v>
      </c>
      <c r="Q56" s="58">
        <v>300</v>
      </c>
      <c r="S56" s="56">
        <v>300</v>
      </c>
      <c r="T56" s="57">
        <v>300</v>
      </c>
      <c r="U56" s="57">
        <v>300</v>
      </c>
      <c r="V56" s="58">
        <v>300</v>
      </c>
    </row>
    <row r="57" spans="1:22" x14ac:dyDescent="0.2">
      <c r="B57" s="388"/>
      <c r="C57" s="29" t="s">
        <v>38</v>
      </c>
      <c r="D57" s="118">
        <v>0.97</v>
      </c>
      <c r="E57" s="119">
        <v>0.97499999999999998</v>
      </c>
      <c r="F57" s="119">
        <v>0.98</v>
      </c>
      <c r="G57" s="120">
        <v>0.98499999999999999</v>
      </c>
      <c r="H57" s="67"/>
      <c r="I57" s="121">
        <v>0.97</v>
      </c>
      <c r="J57" s="119">
        <v>0.97499999999999998</v>
      </c>
      <c r="K57" s="119">
        <v>0.98</v>
      </c>
      <c r="L57" s="120">
        <v>0.98499999999999999</v>
      </c>
      <c r="N57" s="121">
        <v>0.97</v>
      </c>
      <c r="O57" s="119">
        <v>0.97499999999999998</v>
      </c>
      <c r="P57" s="119">
        <v>0.98</v>
      </c>
      <c r="Q57" s="120">
        <v>0.98499999999999999</v>
      </c>
      <c r="S57" s="121">
        <v>0.97</v>
      </c>
      <c r="T57" s="119">
        <v>0.97499999999999998</v>
      </c>
      <c r="U57" s="119">
        <v>0.98</v>
      </c>
      <c r="V57" s="120">
        <v>0.98499999999999999</v>
      </c>
    </row>
    <row r="58" spans="1:22" x14ac:dyDescent="0.2">
      <c r="A58" s="22">
        <v>1</v>
      </c>
      <c r="B58" s="388"/>
      <c r="C58" s="29" t="s">
        <v>39</v>
      </c>
      <c r="D58" s="30">
        <v>1.2</v>
      </c>
      <c r="E58" s="30">
        <v>1.2</v>
      </c>
      <c r="F58" s="30">
        <v>1.2</v>
      </c>
      <c r="G58" s="31">
        <v>1.2</v>
      </c>
      <c r="I58" s="32">
        <v>1.2</v>
      </c>
      <c r="J58" s="30">
        <v>1.2</v>
      </c>
      <c r="K58" s="30">
        <v>1.2</v>
      </c>
      <c r="L58" s="31">
        <v>1.2</v>
      </c>
      <c r="N58" s="32">
        <v>1.2</v>
      </c>
      <c r="O58" s="30">
        <v>1.2</v>
      </c>
      <c r="P58" s="30">
        <v>1.2</v>
      </c>
      <c r="Q58" s="31">
        <v>1.2</v>
      </c>
      <c r="S58" s="32">
        <v>1.2</v>
      </c>
      <c r="T58" s="30">
        <v>1.2</v>
      </c>
      <c r="U58" s="30">
        <v>1.2</v>
      </c>
      <c r="V58" s="31">
        <v>1.2</v>
      </c>
    </row>
    <row r="59" spans="1:22" x14ac:dyDescent="0.2">
      <c r="A59" s="22">
        <v>1</v>
      </c>
      <c r="B59" s="388"/>
      <c r="C59" s="29" t="s">
        <v>40</v>
      </c>
      <c r="D59" s="122">
        <v>5.0000000000000001E-3</v>
      </c>
      <c r="E59" s="122">
        <v>5.0000000000000001E-3</v>
      </c>
      <c r="F59" s="122">
        <v>5.0000000000000001E-3</v>
      </c>
      <c r="G59" s="123">
        <v>5.0000000000000001E-3</v>
      </c>
      <c r="H59" s="124"/>
      <c r="I59" s="125">
        <v>5.0000000000000001E-3</v>
      </c>
      <c r="J59" s="122">
        <v>5.0000000000000001E-3</v>
      </c>
      <c r="K59" s="122">
        <v>5.0000000000000001E-3</v>
      </c>
      <c r="L59" s="123">
        <v>5.0000000000000001E-3</v>
      </c>
      <c r="N59" s="125">
        <v>5.0000000000000001E-3</v>
      </c>
      <c r="O59" s="122">
        <v>5.0000000000000001E-3</v>
      </c>
      <c r="P59" s="122">
        <v>5.0000000000000001E-3</v>
      </c>
      <c r="Q59" s="123">
        <v>5.0000000000000001E-3</v>
      </c>
      <c r="S59" s="125">
        <v>5.0000000000000001E-3</v>
      </c>
      <c r="T59" s="122">
        <v>5.0000000000000001E-3</v>
      </c>
      <c r="U59" s="122">
        <v>5.0000000000000001E-3</v>
      </c>
      <c r="V59" s="123">
        <v>5.0000000000000001E-3</v>
      </c>
    </row>
    <row r="60" spans="1:22" ht="15" thickBot="1" x14ac:dyDescent="0.25">
      <c r="B60" s="393"/>
      <c r="C60" s="126" t="s">
        <v>41</v>
      </c>
      <c r="D60" s="127">
        <v>0.9</v>
      </c>
      <c r="E60" s="127">
        <v>0.9</v>
      </c>
      <c r="F60" s="127">
        <v>0.9</v>
      </c>
      <c r="G60" s="128">
        <v>0.9</v>
      </c>
      <c r="H60" s="67"/>
      <c r="I60" s="129">
        <v>0.9</v>
      </c>
      <c r="J60" s="127">
        <v>0.9</v>
      </c>
      <c r="K60" s="127">
        <v>0.9</v>
      </c>
      <c r="L60" s="128">
        <v>0.9</v>
      </c>
      <c r="N60" s="129">
        <v>0.9</v>
      </c>
      <c r="O60" s="127">
        <v>0.9</v>
      </c>
      <c r="P60" s="127">
        <v>0.9</v>
      </c>
      <c r="Q60" s="128">
        <v>0.9</v>
      </c>
      <c r="S60" s="130">
        <v>0.9</v>
      </c>
      <c r="T60" s="127">
        <v>0.9</v>
      </c>
      <c r="U60" s="127">
        <v>0.9</v>
      </c>
      <c r="V60" s="128">
        <v>0.9</v>
      </c>
    </row>
    <row r="61" spans="1:22" x14ac:dyDescent="0.2">
      <c r="E61" s="131"/>
      <c r="F61" s="131"/>
      <c r="G61" s="131"/>
      <c r="J61" s="132"/>
      <c r="P61" s="132"/>
      <c r="S61" s="131"/>
    </row>
    <row r="62" spans="1:22" x14ac:dyDescent="0.2">
      <c r="A62" s="22">
        <v>1</v>
      </c>
      <c r="D62" s="131"/>
      <c r="E62" s="131"/>
      <c r="F62" s="131"/>
      <c r="G62" s="131"/>
      <c r="I62" s="131"/>
      <c r="J62" s="132"/>
      <c r="K62" s="132"/>
      <c r="L62" s="132"/>
      <c r="N62" s="131"/>
      <c r="P62" s="132"/>
      <c r="Q62" s="132"/>
      <c r="S62" s="131"/>
      <c r="T62" s="132"/>
      <c r="U62" s="132"/>
      <c r="V62" s="132"/>
    </row>
    <row r="63" spans="1:22" ht="15" thickBot="1" x14ac:dyDescent="0.25">
      <c r="A63" s="22">
        <v>1</v>
      </c>
      <c r="B63" s="133"/>
      <c r="D63" s="131"/>
      <c r="E63" s="131"/>
      <c r="F63" s="131"/>
      <c r="G63" s="131"/>
      <c r="I63" s="131" t="s">
        <v>286</v>
      </c>
      <c r="J63" s="132"/>
      <c r="K63" s="132"/>
      <c r="L63" s="132"/>
      <c r="N63" s="131"/>
      <c r="O63" s="132"/>
      <c r="P63" s="132"/>
      <c r="Q63" s="132"/>
      <c r="S63" s="131"/>
      <c r="T63" s="132"/>
      <c r="U63" s="132"/>
      <c r="V63" s="132"/>
    </row>
    <row r="64" spans="1:22" ht="14.5" customHeight="1" x14ac:dyDescent="0.2">
      <c r="B64" s="384" t="s">
        <v>211</v>
      </c>
      <c r="C64" s="134" t="s">
        <v>81</v>
      </c>
      <c r="D64" s="135">
        <v>7.2401799999999987</v>
      </c>
      <c r="E64" s="135">
        <v>8.5238199999999988</v>
      </c>
      <c r="F64" s="135">
        <v>9.8862799999999975</v>
      </c>
      <c r="G64" s="136">
        <v>12.419779999999998</v>
      </c>
      <c r="I64" s="137">
        <v>2.6332</v>
      </c>
      <c r="J64" s="138">
        <v>2.3660999999999999</v>
      </c>
      <c r="K64" s="138">
        <v>2.1254</v>
      </c>
      <c r="L64" s="139">
        <v>1.5178</v>
      </c>
      <c r="N64" s="137">
        <v>7.5554599999999992</v>
      </c>
      <c r="O64" s="138">
        <v>8.9629599999999989</v>
      </c>
      <c r="P64" s="138">
        <v>10.40424</v>
      </c>
      <c r="Q64" s="139">
        <v>14.345239999999999</v>
      </c>
      <c r="S64" s="137">
        <v>9.2331999999999983</v>
      </c>
      <c r="T64" s="138">
        <v>10.618179999999999</v>
      </c>
      <c r="U64" s="138">
        <v>11.597799999999999</v>
      </c>
      <c r="V64" s="139">
        <v>16.822439999999997</v>
      </c>
    </row>
    <row r="65" spans="2:22" x14ac:dyDescent="0.2">
      <c r="B65" s="385"/>
      <c r="C65" s="140" t="s">
        <v>82</v>
      </c>
      <c r="D65" s="141">
        <v>8.1184599999999989</v>
      </c>
      <c r="E65" s="141">
        <v>9.4809199999999993</v>
      </c>
      <c r="F65" s="141">
        <v>10.989759999999999</v>
      </c>
      <c r="G65" s="142">
        <v>13.523259999999999</v>
      </c>
      <c r="I65" s="143">
        <v>2.2501000000000002</v>
      </c>
      <c r="J65" s="144">
        <v>2.0373999999999999</v>
      </c>
      <c r="K65" s="144">
        <v>1.8199000000000001</v>
      </c>
      <c r="L65" s="145">
        <v>1.2922</v>
      </c>
      <c r="N65" s="143">
        <v>8.80532</v>
      </c>
      <c r="O65" s="144">
        <v>10.40424</v>
      </c>
      <c r="P65" s="144">
        <v>12.262139999999999</v>
      </c>
      <c r="Q65" s="145">
        <v>16.980079999999997</v>
      </c>
      <c r="S65" s="143">
        <v>10.8659</v>
      </c>
      <c r="T65" s="144">
        <v>12.385999999999999</v>
      </c>
      <c r="U65" s="144">
        <v>13.602079999999999</v>
      </c>
      <c r="V65" s="145">
        <v>19.119479999999999</v>
      </c>
    </row>
    <row r="66" spans="2:22" x14ac:dyDescent="0.2">
      <c r="B66" s="385"/>
      <c r="C66" s="140" t="s">
        <v>83</v>
      </c>
      <c r="D66" s="141">
        <v>4.3350999999999997</v>
      </c>
      <c r="E66" s="141">
        <v>5.0557400000000001</v>
      </c>
      <c r="F66" s="141">
        <v>5.8777199999999992</v>
      </c>
      <c r="G66" s="142">
        <v>6.5758399999999995</v>
      </c>
      <c r="I66" s="143">
        <v>2.5468999999999999</v>
      </c>
      <c r="J66" s="144">
        <v>2.3342000000000001</v>
      </c>
      <c r="K66" s="144">
        <v>2.0051999999999999</v>
      </c>
      <c r="L66" s="145">
        <v>1.5062</v>
      </c>
      <c r="N66" s="143">
        <v>5.7763799999999996</v>
      </c>
      <c r="O66" s="144">
        <v>6.6884399999999999</v>
      </c>
      <c r="P66" s="144">
        <v>8.0734199999999987</v>
      </c>
      <c r="Q66" s="145">
        <v>10.922199999999998</v>
      </c>
      <c r="S66" s="143">
        <v>10.212819999999999</v>
      </c>
      <c r="T66" s="144">
        <v>11.541499999999999</v>
      </c>
      <c r="U66" s="144">
        <v>12.971519999999998</v>
      </c>
      <c r="V66" s="145">
        <v>17.666939999999997</v>
      </c>
    </row>
    <row r="67" spans="2:22" ht="15" thickBot="1" x14ac:dyDescent="0.25">
      <c r="B67" s="385"/>
      <c r="C67" s="146" t="s">
        <v>84</v>
      </c>
      <c r="D67" s="147">
        <f>100/(86/D64+9/D65+5/D66)</f>
        <v>7.0720766227560246</v>
      </c>
      <c r="E67" s="147">
        <f>100/(86/E64+9/E65+5/E66)</f>
        <v>8.3141947864231245</v>
      </c>
      <c r="F67" s="147">
        <f t="shared" ref="F67:G67" si="0">100/(86/F64+9/F65+5/F66)</f>
        <v>9.644560957210615</v>
      </c>
      <c r="G67" s="148">
        <f t="shared" si="0"/>
        <v>11.975592676410761</v>
      </c>
      <c r="I67" s="149">
        <f>(86*I64+9*I65+5*I66)/100</f>
        <v>2.5944060000000002</v>
      </c>
      <c r="J67" s="147">
        <f t="shared" ref="J67:L67" si="1">(86*J64+9*J65+5*J66)/100</f>
        <v>2.3349220000000002</v>
      </c>
      <c r="K67" s="147">
        <f t="shared" si="1"/>
        <v>2.0918950000000001</v>
      </c>
      <c r="L67" s="148">
        <f t="shared" si="1"/>
        <v>1.4969159999999999</v>
      </c>
      <c r="N67" s="149">
        <f>100/(86/N64+9/N65+5/N66)</f>
        <v>7.5356812926731207</v>
      </c>
      <c r="O67" s="147">
        <f t="shared" ref="O67:Q67" si="2">100/(86/O64+9/O65+5/O66)</f>
        <v>8.9224890659490601</v>
      </c>
      <c r="P67" s="147">
        <f t="shared" si="2"/>
        <v>10.395935905134735</v>
      </c>
      <c r="Q67" s="148">
        <f t="shared" si="2"/>
        <v>14.320828917646597</v>
      </c>
      <c r="S67" s="149">
        <f>100/(86/S64+9/S65+5/S66)</f>
        <v>9.405502666427223</v>
      </c>
      <c r="T67" s="147">
        <f t="shared" ref="T67:V67" si="3">100/(86/T64+9/T65+5/T66)</f>
        <v>10.800112809416811</v>
      </c>
      <c r="U67" s="147">
        <f t="shared" si="3"/>
        <v>11.817086462701615</v>
      </c>
      <c r="V67" s="148">
        <f t="shared" si="3"/>
        <v>17.047514553674244</v>
      </c>
    </row>
    <row r="68" spans="2:22" s="186" customFormat="1" ht="16" thickTop="1" thickBot="1" x14ac:dyDescent="0.25">
      <c r="B68" s="385"/>
      <c r="C68" s="190" t="s">
        <v>87</v>
      </c>
      <c r="D68" s="182">
        <v>151412</v>
      </c>
      <c r="E68" s="182">
        <v>151412</v>
      </c>
      <c r="F68" s="182">
        <v>151412</v>
      </c>
      <c r="G68" s="183">
        <v>151412</v>
      </c>
      <c r="H68" s="184"/>
      <c r="I68" s="185">
        <v>892070</v>
      </c>
      <c r="J68" s="182">
        <v>619439</v>
      </c>
      <c r="K68" s="182">
        <v>403929</v>
      </c>
      <c r="L68" s="183">
        <v>202151</v>
      </c>
      <c r="N68" s="185">
        <v>161111</v>
      </c>
      <c r="O68" s="187">
        <v>158562</v>
      </c>
      <c r="P68" s="187">
        <v>157782</v>
      </c>
      <c r="Q68" s="188">
        <v>155537</v>
      </c>
      <c r="S68" s="189">
        <v>357520</v>
      </c>
      <c r="T68" s="187">
        <v>269586</v>
      </c>
      <c r="U68" s="187">
        <v>251203</v>
      </c>
      <c r="V68" s="188">
        <v>183669</v>
      </c>
    </row>
    <row r="69" spans="2:22" ht="16" thickTop="1" thickBot="1" x14ac:dyDescent="0.25">
      <c r="B69" s="385"/>
      <c r="C69" s="151" t="s">
        <v>111</v>
      </c>
      <c r="D69" s="152">
        <v>31978</v>
      </c>
      <c r="E69" s="152">
        <v>31978</v>
      </c>
      <c r="F69" s="152">
        <v>31978</v>
      </c>
      <c r="G69" s="153">
        <v>31978</v>
      </c>
      <c r="I69" s="154">
        <v>37194</v>
      </c>
      <c r="J69" s="155">
        <v>36510</v>
      </c>
      <c r="K69" s="155">
        <v>34753</v>
      </c>
      <c r="L69" s="156">
        <v>32099</v>
      </c>
      <c r="N69" s="157">
        <v>32155</v>
      </c>
      <c r="O69" s="152">
        <v>32096</v>
      </c>
      <c r="P69" s="152">
        <v>32060</v>
      </c>
      <c r="Q69" s="158">
        <v>31997</v>
      </c>
      <c r="S69" s="157">
        <v>32534</v>
      </c>
      <c r="T69" s="152">
        <v>31867</v>
      </c>
      <c r="U69" s="152">
        <v>31842</v>
      </c>
      <c r="V69" s="158">
        <v>30866</v>
      </c>
    </row>
    <row r="70" spans="2:22" ht="15" thickTop="1" x14ac:dyDescent="0.2">
      <c r="B70" s="385"/>
      <c r="C70" s="159" t="s">
        <v>104</v>
      </c>
      <c r="D70" s="160">
        <f>300*D64</f>
        <v>2172.0539999999996</v>
      </c>
      <c r="E70" s="160">
        <f>300*E64</f>
        <v>2557.1459999999997</v>
      </c>
      <c r="F70" s="160">
        <f t="shared" ref="F70" si="4">300*F64</f>
        <v>2965.8839999999991</v>
      </c>
      <c r="G70" s="161">
        <f>300*G64</f>
        <v>3725.9339999999993</v>
      </c>
      <c r="I70" s="162">
        <f>I$32*(I$44-I$43)/I64</f>
        <v>469.9173629044509</v>
      </c>
      <c r="J70" s="160">
        <f t="shared" ref="J70:L70" si="5">J$32*(J$44-J$43)/J64</f>
        <v>504.46557626473947</v>
      </c>
      <c r="K70" s="160">
        <f t="shared" si="5"/>
        <v>510.52902982967908</v>
      </c>
      <c r="L70" s="161">
        <f t="shared" si="5"/>
        <v>538.54822769798386</v>
      </c>
      <c r="M70" s="24"/>
      <c r="N70" s="163">
        <f>300*N64</f>
        <v>2266.6379999999999</v>
      </c>
      <c r="O70" s="164">
        <f>300*O64</f>
        <v>2688.8879999999995</v>
      </c>
      <c r="P70" s="164">
        <f>300*P64</f>
        <v>3121.2719999999999</v>
      </c>
      <c r="Q70" s="165">
        <f>300*Q64</f>
        <v>4303.5719999999992</v>
      </c>
      <c r="S70" s="162">
        <f>$S$18/8.7*S64</f>
        <v>3400.3646896551718</v>
      </c>
      <c r="T70" s="160">
        <f>$T$18/8.7*T64</f>
        <v>3390.494717241379</v>
      </c>
      <c r="U70" s="160">
        <f>$U$18/8.7*U64</f>
        <v>3621.9796091954026</v>
      </c>
      <c r="V70" s="161">
        <f>$V$18/8.7*V64</f>
        <v>3422.4964137931029</v>
      </c>
    </row>
    <row r="71" spans="2:22" x14ac:dyDescent="0.2">
      <c r="B71" s="385"/>
      <c r="C71" s="140" t="s">
        <v>105</v>
      </c>
      <c r="D71" s="160">
        <f t="shared" ref="D71:G73" si="6">300*D65</f>
        <v>2435.5379999999996</v>
      </c>
      <c r="E71" s="160">
        <f t="shared" si="6"/>
        <v>2844.2759999999998</v>
      </c>
      <c r="F71" s="160">
        <f t="shared" si="6"/>
        <v>3296.9279999999994</v>
      </c>
      <c r="G71" s="161">
        <f t="shared" si="6"/>
        <v>4056.9779999999996</v>
      </c>
      <c r="I71" s="166">
        <f t="shared" ref="I71:L71" si="7">I$32*(I$44-I$43)/I65</f>
        <v>549.92506999688896</v>
      </c>
      <c r="J71" s="167">
        <f t="shared" si="7"/>
        <v>585.85255718072051</v>
      </c>
      <c r="K71" s="167">
        <f t="shared" si="7"/>
        <v>596.22968294961254</v>
      </c>
      <c r="L71" s="168">
        <f t="shared" si="7"/>
        <v>632.57119640922451</v>
      </c>
      <c r="M71" s="24"/>
      <c r="N71" s="163">
        <f t="shared" ref="N71:Q73" si="8">300*N65</f>
        <v>2641.596</v>
      </c>
      <c r="O71" s="169">
        <f t="shared" si="8"/>
        <v>3121.2719999999999</v>
      </c>
      <c r="P71" s="169">
        <f t="shared" si="8"/>
        <v>3678.6419999999998</v>
      </c>
      <c r="Q71" s="161">
        <f t="shared" si="8"/>
        <v>5094.0239999999994</v>
      </c>
      <c r="S71" s="166">
        <f>$S$18/8.7*S65</f>
        <v>4001.6486896551723</v>
      </c>
      <c r="T71" s="167">
        <f>$T$18/8.7*T65</f>
        <v>3954.9779310344825</v>
      </c>
      <c r="U71" s="167">
        <f t="shared" ref="U71:U73" si="9">$U$18/8.7*U65</f>
        <v>4247.9139494252877</v>
      </c>
      <c r="V71" s="168">
        <f t="shared" ref="V71:V73" si="10">$V$18/8.7*V65</f>
        <v>3889.8252413793107</v>
      </c>
    </row>
    <row r="72" spans="2:22" x14ac:dyDescent="0.2">
      <c r="B72" s="385"/>
      <c r="C72" s="140" t="s">
        <v>106</v>
      </c>
      <c r="D72" s="160">
        <f t="shared" si="6"/>
        <v>1300.53</v>
      </c>
      <c r="E72" s="160">
        <f t="shared" si="6"/>
        <v>1516.722</v>
      </c>
      <c r="F72" s="160">
        <f t="shared" si="6"/>
        <v>1763.3159999999998</v>
      </c>
      <c r="G72" s="161">
        <f t="shared" si="6"/>
        <v>1972.752</v>
      </c>
      <c r="I72" s="166">
        <f t="shared" ref="I72:L73" si="11">I$32*(I$44-I$43)/I66</f>
        <v>485.84019788762816</v>
      </c>
      <c r="J72" s="167">
        <f t="shared" si="11"/>
        <v>511.35978065290033</v>
      </c>
      <c r="K72" s="167">
        <f t="shared" si="11"/>
        <v>541.13225613405143</v>
      </c>
      <c r="L72" s="168">
        <f t="shared" si="11"/>
        <v>542.69585712388789</v>
      </c>
      <c r="N72" s="163">
        <f t="shared" si="8"/>
        <v>1732.914</v>
      </c>
      <c r="O72" s="169">
        <f t="shared" si="8"/>
        <v>2006.5319999999999</v>
      </c>
      <c r="P72" s="169">
        <f t="shared" si="8"/>
        <v>2422.0259999999998</v>
      </c>
      <c r="Q72" s="161">
        <f t="shared" si="8"/>
        <v>3276.6599999999994</v>
      </c>
      <c r="S72" s="166">
        <f t="shared" ref="S72:S73" si="12">$S$18/8.7*S66</f>
        <v>3761.1350896551721</v>
      </c>
      <c r="T72" s="167">
        <f t="shared" ref="T72:T73" si="13">$T$18/8.7*T66</f>
        <v>3685.3203448275863</v>
      </c>
      <c r="U72" s="167">
        <f t="shared" si="9"/>
        <v>4050.9907862068962</v>
      </c>
      <c r="V72" s="168">
        <f t="shared" si="10"/>
        <v>3594.3084827586204</v>
      </c>
    </row>
    <row r="73" spans="2:22" ht="15" thickBot="1" x14ac:dyDescent="0.25">
      <c r="B73" s="386"/>
      <c r="C73" s="170" t="s">
        <v>107</v>
      </c>
      <c r="D73" s="171">
        <f t="shared" si="6"/>
        <v>2121.6229868268074</v>
      </c>
      <c r="E73" s="171">
        <f t="shared" si="6"/>
        <v>2494.2584359269372</v>
      </c>
      <c r="F73" s="171">
        <f t="shared" si="6"/>
        <v>2893.3682871631845</v>
      </c>
      <c r="G73" s="172">
        <f t="shared" si="6"/>
        <v>3592.6778029232282</v>
      </c>
      <c r="I73" s="173">
        <f t="shared" si="11"/>
        <v>476.94400953435968</v>
      </c>
      <c r="J73" s="171">
        <f t="shared" si="11"/>
        <v>511.20165898475403</v>
      </c>
      <c r="K73" s="171">
        <f t="shared" si="11"/>
        <v>518.7059579950236</v>
      </c>
      <c r="L73" s="172">
        <f t="shared" si="11"/>
        <v>546.06170286108238</v>
      </c>
      <c r="N73" s="173">
        <f t="shared" si="8"/>
        <v>2260.7043878019363</v>
      </c>
      <c r="O73" s="171">
        <f t="shared" si="8"/>
        <v>2676.7467197847182</v>
      </c>
      <c r="P73" s="171">
        <f t="shared" si="8"/>
        <v>3118.7807715404206</v>
      </c>
      <c r="Q73" s="172">
        <f t="shared" si="8"/>
        <v>4296.2486752939794</v>
      </c>
      <c r="S73" s="173">
        <f t="shared" si="12"/>
        <v>3463.8196026704395</v>
      </c>
      <c r="T73" s="171">
        <f t="shared" si="13"/>
        <v>3448.5877453517128</v>
      </c>
      <c r="U73" s="171">
        <f t="shared" si="9"/>
        <v>3690.4625194437117</v>
      </c>
      <c r="V73" s="172">
        <f t="shared" si="10"/>
        <v>3468.2874436785532</v>
      </c>
    </row>
    <row r="74" spans="2:22" x14ac:dyDescent="0.2">
      <c r="B74" s="22"/>
      <c r="C74" s="174" t="s">
        <v>124</v>
      </c>
      <c r="D74" s="178">
        <v>7.0777995262828766</v>
      </c>
      <c r="E74" s="178">
        <v>8.3326465843773381</v>
      </c>
      <c r="F74" s="178"/>
      <c r="G74" s="179"/>
      <c r="I74" s="132"/>
      <c r="J74" s="132"/>
      <c r="K74" s="132"/>
      <c r="L74" s="132"/>
      <c r="N74" s="131"/>
      <c r="O74" s="132"/>
      <c r="P74" s="132"/>
      <c r="Q74" s="132"/>
      <c r="S74" s="131"/>
      <c r="T74" s="132"/>
      <c r="U74" s="132"/>
      <c r="V74" s="132"/>
    </row>
    <row r="75" spans="2:22" x14ac:dyDescent="0.2">
      <c r="B75" s="22"/>
      <c r="C75" s="174" t="s">
        <v>122</v>
      </c>
      <c r="D75" s="178">
        <f>D67*Constant!$D$17/Constant!$D$7</f>
        <v>7.0893403823824892</v>
      </c>
      <c r="E75" s="178">
        <f>E67*Constant!$D$17/Constant!$D$7</f>
        <v>8.3344907006131059</v>
      </c>
      <c r="F75" s="177">
        <f>F67*Constant!$D$17/Constant!$D$7</f>
        <v>9.6681044495891229</v>
      </c>
      <c r="G75" s="180">
        <f>G67*Constant!$D$17/Constant!$D$7</f>
        <v>12.004826487691139</v>
      </c>
      <c r="I75" s="132"/>
      <c r="L75" s="132"/>
      <c r="N75" s="131"/>
      <c r="P75" s="132"/>
      <c r="Q75" s="132"/>
      <c r="S75" s="131"/>
      <c r="T75" s="132"/>
      <c r="U75" s="132"/>
      <c r="V75" s="132"/>
    </row>
    <row r="76" spans="2:22" x14ac:dyDescent="0.2">
      <c r="B76" s="175"/>
      <c r="C76" s="174" t="s">
        <v>123</v>
      </c>
      <c r="D76" s="174">
        <f>D75/D74-1</f>
        <v>1.6305712046176257E-3</v>
      </c>
      <c r="E76" s="181">
        <f>E75/E74-1</f>
        <v>2.2131218660170759E-4</v>
      </c>
      <c r="I76" s="131"/>
      <c r="N76" s="131"/>
      <c r="P76" s="132"/>
      <c r="U76" s="132"/>
    </row>
    <row r="77" spans="2:22" x14ac:dyDescent="0.2">
      <c r="B77" s="175"/>
      <c r="D77" s="22"/>
      <c r="E77" s="22"/>
      <c r="F77" s="22"/>
      <c r="G77" s="22"/>
      <c r="H77" s="180"/>
      <c r="I77" s="179"/>
      <c r="J77" s="177"/>
      <c r="K77" s="177"/>
      <c r="L77" s="177"/>
      <c r="M77" s="177"/>
      <c r="N77" s="179"/>
      <c r="O77" s="177"/>
      <c r="P77" s="178"/>
      <c r="Q77" s="177"/>
      <c r="R77" s="177"/>
      <c r="S77" s="180"/>
      <c r="T77" s="177"/>
      <c r="U77" s="178"/>
      <c r="V77" s="177"/>
    </row>
    <row r="78" spans="2:22" x14ac:dyDescent="0.2">
      <c r="B78" s="175"/>
      <c r="C78" s="265" t="s">
        <v>287</v>
      </c>
      <c r="D78" s="266">
        <f>D67</f>
        <v>7.0720766227560246</v>
      </c>
      <c r="E78" s="266">
        <f>E67</f>
        <v>8.3141947864231245</v>
      </c>
      <c r="F78" s="266">
        <f>F67</f>
        <v>9.644560957210615</v>
      </c>
      <c r="G78" s="266">
        <f>G67</f>
        <v>11.975592676410761</v>
      </c>
      <c r="H78" s="267"/>
      <c r="I78" s="269">
        <f>dge2kWh/I67</f>
        <v>14.664376718387347</v>
      </c>
      <c r="J78" s="269">
        <f>dge2kWh/J67</f>
        <v>16.29405476690204</v>
      </c>
      <c r="K78" s="269">
        <f>dge2kWh/K67</f>
        <v>18.1870251348392</v>
      </c>
      <c r="L78" s="269">
        <f>dge2kWh/L67</f>
        <v>25.415819554633959</v>
      </c>
      <c r="M78" s="268"/>
      <c r="N78" s="269">
        <f>N67</f>
        <v>7.5356812926731207</v>
      </c>
      <c r="O78" s="269">
        <f t="shared" ref="O78:Q78" si="14">O67</f>
        <v>8.9224890659490601</v>
      </c>
      <c r="P78" s="269">
        <f t="shared" si="14"/>
        <v>10.395935905134735</v>
      </c>
      <c r="Q78" s="269">
        <f t="shared" si="14"/>
        <v>14.320828917646597</v>
      </c>
      <c r="R78" s="266"/>
      <c r="S78" s="269">
        <f>S67</f>
        <v>9.405502666427223</v>
      </c>
      <c r="T78" s="269">
        <f>T67</f>
        <v>10.800112809416811</v>
      </c>
      <c r="U78" s="269">
        <f>U67</f>
        <v>11.817086462701615</v>
      </c>
      <c r="V78" s="270">
        <f>V67</f>
        <v>17.047514553674244</v>
      </c>
    </row>
    <row r="79" spans="2:22" x14ac:dyDescent="0.2">
      <c r="B79" s="175"/>
      <c r="C79" s="22" t="s">
        <v>214</v>
      </c>
      <c r="D79" s="184">
        <v>0</v>
      </c>
      <c r="E79" s="184">
        <v>1331.9799262883603</v>
      </c>
      <c r="F79" s="184">
        <v>1766.4804672611408</v>
      </c>
      <c r="G79" s="184">
        <v>6258.8795902483671</v>
      </c>
      <c r="H79" s="22"/>
      <c r="I79" s="184">
        <v>0</v>
      </c>
      <c r="J79" s="184">
        <v>1331.9799262883603</v>
      </c>
      <c r="K79" s="184">
        <v>1766.4804672611408</v>
      </c>
      <c r="L79" s="184">
        <v>6258.8795902483671</v>
      </c>
      <c r="N79" s="184">
        <v>0</v>
      </c>
      <c r="O79" s="184">
        <v>1331.9799262883603</v>
      </c>
      <c r="P79" s="184">
        <v>1766.4804672611408</v>
      </c>
      <c r="Q79" s="184">
        <v>6258.8795902483671</v>
      </c>
      <c r="S79" s="184">
        <v>0</v>
      </c>
      <c r="T79" s="184">
        <v>1331.9799262883603</v>
      </c>
      <c r="U79" s="184">
        <v>1766.4804672611408</v>
      </c>
      <c r="V79" s="184">
        <v>6258.8795902483671</v>
      </c>
    </row>
    <row r="80" spans="2:22" x14ac:dyDescent="0.2">
      <c r="B80" s="175"/>
      <c r="C80" s="22" t="s">
        <v>215</v>
      </c>
      <c r="D80" s="184">
        <v>0</v>
      </c>
      <c r="E80" s="184">
        <v>0</v>
      </c>
      <c r="F80" s="184">
        <v>0</v>
      </c>
      <c r="G80" s="184">
        <v>0</v>
      </c>
      <c r="H80" s="22"/>
      <c r="I80" s="184">
        <v>0</v>
      </c>
      <c r="J80" s="184">
        <v>0</v>
      </c>
      <c r="K80" s="184">
        <v>0</v>
      </c>
      <c r="L80" s="184">
        <v>0</v>
      </c>
      <c r="N80" s="184">
        <v>0</v>
      </c>
      <c r="O80" s="184">
        <v>0</v>
      </c>
      <c r="P80" s="184">
        <v>0</v>
      </c>
      <c r="Q80" s="184">
        <v>0</v>
      </c>
      <c r="S80" s="184">
        <v>0</v>
      </c>
      <c r="T80" s="184">
        <v>0</v>
      </c>
      <c r="U80" s="184">
        <v>0</v>
      </c>
      <c r="V80" s="184">
        <v>0</v>
      </c>
    </row>
    <row r="81" spans="2:22" x14ac:dyDescent="0.2">
      <c r="B81" s="175"/>
      <c r="C81" s="22" t="s">
        <v>221</v>
      </c>
      <c r="D81" s="184">
        <v>0</v>
      </c>
      <c r="E81" s="184">
        <v>0</v>
      </c>
      <c r="F81" s="184">
        <v>0</v>
      </c>
      <c r="G81" s="184">
        <v>0</v>
      </c>
      <c r="H81" s="22"/>
      <c r="I81" s="184">
        <v>0</v>
      </c>
      <c r="J81" s="184">
        <v>0</v>
      </c>
      <c r="K81" s="184">
        <v>0</v>
      </c>
      <c r="L81" s="184">
        <v>0</v>
      </c>
      <c r="N81" s="184">
        <v>0</v>
      </c>
      <c r="O81" s="184">
        <v>0</v>
      </c>
      <c r="P81" s="184">
        <v>0</v>
      </c>
      <c r="Q81" s="184">
        <v>0</v>
      </c>
      <c r="S81" s="184">
        <v>0</v>
      </c>
      <c r="T81" s="184">
        <v>0</v>
      </c>
      <c r="U81" s="184">
        <v>0</v>
      </c>
      <c r="V81" s="184">
        <v>0</v>
      </c>
    </row>
    <row r="82" spans="2:22" x14ac:dyDescent="0.2">
      <c r="B82" s="22"/>
      <c r="C82" s="22" t="s">
        <v>220</v>
      </c>
      <c r="D82" s="184">
        <v>0</v>
      </c>
      <c r="E82" s="184">
        <v>10700</v>
      </c>
      <c r="F82" s="184">
        <v>13500</v>
      </c>
      <c r="G82" s="184">
        <v>14100</v>
      </c>
      <c r="I82" s="184">
        <v>0</v>
      </c>
      <c r="J82" s="184">
        <v>0</v>
      </c>
      <c r="K82" s="184">
        <v>0</v>
      </c>
      <c r="L82" s="184">
        <v>0</v>
      </c>
      <c r="N82" s="184">
        <v>0</v>
      </c>
      <c r="O82" s="184">
        <v>10700</v>
      </c>
      <c r="P82" s="184">
        <v>13500</v>
      </c>
      <c r="Q82" s="184">
        <v>14100</v>
      </c>
      <c r="S82" s="184">
        <v>0</v>
      </c>
      <c r="T82" s="184">
        <v>0</v>
      </c>
      <c r="U82" s="184">
        <v>0</v>
      </c>
      <c r="V82" s="184">
        <v>0</v>
      </c>
    </row>
    <row r="83" spans="2:22" x14ac:dyDescent="0.2">
      <c r="C83" s="271" t="s">
        <v>213</v>
      </c>
      <c r="D83" s="272">
        <f>D68+SUM(D79:D82)</f>
        <v>151412</v>
      </c>
      <c r="E83" s="272">
        <f t="shared" ref="E83:G83" si="15">E68+SUM(E79:E82)</f>
        <v>163443.97992628836</v>
      </c>
      <c r="F83" s="272">
        <f t="shared" si="15"/>
        <v>166678.48046726114</v>
      </c>
      <c r="G83" s="272">
        <f t="shared" si="15"/>
        <v>171770.87959024837</v>
      </c>
      <c r="H83" s="267"/>
      <c r="I83" s="272">
        <f t="shared" ref="I83:L83" si="16">I68+SUM(I79:I82)</f>
        <v>892070</v>
      </c>
      <c r="J83" s="272">
        <f t="shared" si="16"/>
        <v>620770.97992628836</v>
      </c>
      <c r="K83" s="272">
        <f t="shared" si="16"/>
        <v>405695.48046726116</v>
      </c>
      <c r="L83" s="272">
        <f t="shared" si="16"/>
        <v>208409.87959024837</v>
      </c>
      <c r="M83" s="268"/>
      <c r="N83" s="272">
        <f t="shared" ref="N83:Q83" si="17">N68+SUM(N79:N82)</f>
        <v>161111</v>
      </c>
      <c r="O83" s="272">
        <f t="shared" si="17"/>
        <v>170593.97992628836</v>
      </c>
      <c r="P83" s="272">
        <f t="shared" si="17"/>
        <v>173048.48046726114</v>
      </c>
      <c r="Q83" s="272">
        <f t="shared" si="17"/>
        <v>175895.87959024837</v>
      </c>
      <c r="R83" s="268"/>
      <c r="S83" s="272">
        <f t="shared" ref="S83:V83" si="18">S68+SUM(S79:S82)</f>
        <v>357520</v>
      </c>
      <c r="T83" s="272">
        <f t="shared" si="18"/>
        <v>270917.97992628836</v>
      </c>
      <c r="U83" s="272">
        <f t="shared" si="18"/>
        <v>252969.48046726114</v>
      </c>
      <c r="V83" s="273">
        <f t="shared" si="18"/>
        <v>189927.87959024837</v>
      </c>
    </row>
    <row r="85" spans="2:22" x14ac:dyDescent="0.2">
      <c r="E85" s="210"/>
      <c r="F85" s="210"/>
      <c r="G85" s="210"/>
      <c r="J85" s="210"/>
      <c r="K85" s="210"/>
      <c r="L85" s="210"/>
      <c r="O85" s="210"/>
      <c r="P85" s="210"/>
      <c r="Q85" s="210"/>
    </row>
    <row r="86" spans="2:22" x14ac:dyDescent="0.2">
      <c r="J86" s="24"/>
      <c r="K86" s="24"/>
      <c r="L86" s="24"/>
      <c r="O86" s="24"/>
      <c r="P86" s="24"/>
      <c r="Q86" s="24"/>
    </row>
    <row r="88" spans="2:22" x14ac:dyDescent="0.2">
      <c r="B88" s="133"/>
    </row>
    <row r="89" spans="2:22" x14ac:dyDescent="0.2">
      <c r="B89" s="176"/>
      <c r="C89" s="177"/>
      <c r="D89" s="177"/>
      <c r="E89" s="177"/>
    </row>
    <row r="90" spans="2:22" x14ac:dyDescent="0.2">
      <c r="B90" s="176"/>
      <c r="D90" s="22"/>
    </row>
    <row r="91" spans="2:22" x14ac:dyDescent="0.2">
      <c r="B91" s="176"/>
      <c r="C91" s="174"/>
      <c r="D91" s="174"/>
    </row>
    <row r="92" spans="2:22" x14ac:dyDescent="0.2">
      <c r="B92" s="22"/>
    </row>
    <row r="93" spans="2:22" x14ac:dyDescent="0.2">
      <c r="B93" s="22"/>
    </row>
    <row r="94" spans="2:22" x14ac:dyDescent="0.2">
      <c r="B94" s="22"/>
    </row>
    <row r="95" spans="2:22" x14ac:dyDescent="0.2">
      <c r="B95" s="22"/>
    </row>
  </sheetData>
  <autoFilter ref="A3:A76" xr:uid="{3D066C05-FC6D-48B0-823B-AD643F574B19}"/>
  <mergeCells count="9">
    <mergeCell ref="B64:B73"/>
    <mergeCell ref="B38:B42"/>
    <mergeCell ref="B43:B51"/>
    <mergeCell ref="B52:B60"/>
    <mergeCell ref="B3:B6"/>
    <mergeCell ref="B7:B15"/>
    <mergeCell ref="B16:B25"/>
    <mergeCell ref="B26:B30"/>
    <mergeCell ref="B31:B37"/>
  </mergeCells>
  <conditionalFormatting sqref="C45:C51">
    <cfRule type="expression" dxfId="15" priority="1">
      <formula>OR($C$37=0,$C$44=0,$C$45=0)</formula>
    </cfRule>
  </conditionalFormatting>
  <conditionalFormatting sqref="C28:C30">
    <cfRule type="expression" dxfId="14" priority="4">
      <formula>$C$53=0</formula>
    </cfRule>
  </conditionalFormatting>
  <conditionalFormatting sqref="C31:C37 C43:C44">
    <cfRule type="expression" dxfId="13" priority="3">
      <formula>$C$54=0</formula>
    </cfRule>
  </conditionalFormatting>
  <conditionalFormatting sqref="C45:C48">
    <cfRule type="expression" dxfId="12" priority="2">
      <formula>#REF!=2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6B6C-8DB3-4B71-ABE4-346FD6BAF2F7}">
  <sheetPr codeName="Sheet7"/>
  <dimension ref="B2:V93"/>
  <sheetViews>
    <sheetView topLeftCell="A58" zoomScaleNormal="100" workbookViewId="0">
      <selection activeCell="I70" sqref="I70"/>
    </sheetView>
  </sheetViews>
  <sheetFormatPr baseColWidth="10" defaultColWidth="9.1640625" defaultRowHeight="14" x14ac:dyDescent="0.2"/>
  <cols>
    <col min="1" max="1" width="9.1640625" style="22"/>
    <col min="2" max="2" width="3.5" style="23" bestFit="1" customWidth="1"/>
    <col min="3" max="3" width="34.5" style="22" customWidth="1"/>
    <col min="4" max="7" width="10.5" style="24" customWidth="1"/>
    <col min="8" max="8" width="2.5" style="24" customWidth="1"/>
    <col min="9" max="9" width="10.5" style="24" customWidth="1"/>
    <col min="10" max="12" width="10.5" style="22" customWidth="1"/>
    <col min="13" max="13" width="2.33203125" style="22" customWidth="1"/>
    <col min="14" max="14" width="10.5" style="24" customWidth="1"/>
    <col min="15" max="17" width="10.5" style="22" customWidth="1"/>
    <col min="18" max="18" width="2.5" style="22" customWidth="1"/>
    <col min="19" max="19" width="10.5" style="24" customWidth="1"/>
    <col min="20" max="22" width="10.5" style="22" customWidth="1"/>
    <col min="23" max="23" width="2.5" style="22" customWidth="1"/>
    <col min="24" max="16384" width="9.1640625" style="22"/>
  </cols>
  <sheetData>
    <row r="2" spans="2:22" ht="14.5" customHeight="1" thickBot="1" x14ac:dyDescent="0.25"/>
    <row r="3" spans="2:22" ht="15" customHeight="1" x14ac:dyDescent="0.2">
      <c r="B3" s="394" t="s">
        <v>0</v>
      </c>
      <c r="C3" s="25" t="s">
        <v>1</v>
      </c>
      <c r="D3" s="26" t="s">
        <v>207</v>
      </c>
      <c r="E3" s="26" t="s">
        <v>207</v>
      </c>
      <c r="F3" s="26" t="s">
        <v>207</v>
      </c>
      <c r="G3" s="27" t="s">
        <v>207</v>
      </c>
      <c r="I3" s="28" t="s">
        <v>207</v>
      </c>
      <c r="J3" s="26" t="s">
        <v>207</v>
      </c>
      <c r="K3" s="26" t="s">
        <v>207</v>
      </c>
      <c r="L3" s="27" t="s">
        <v>207</v>
      </c>
      <c r="N3" s="28" t="s">
        <v>207</v>
      </c>
      <c r="O3" s="26" t="s">
        <v>207</v>
      </c>
      <c r="P3" s="26" t="s">
        <v>207</v>
      </c>
      <c r="Q3" s="27" t="s">
        <v>207</v>
      </c>
      <c r="S3" s="28" t="s">
        <v>207</v>
      </c>
      <c r="T3" s="26" t="s">
        <v>207</v>
      </c>
      <c r="U3" s="26" t="s">
        <v>207</v>
      </c>
      <c r="V3" s="27" t="s">
        <v>207</v>
      </c>
    </row>
    <row r="4" spans="2:22" ht="15" customHeight="1" x14ac:dyDescent="0.2">
      <c r="B4" s="388"/>
      <c r="C4" s="29" t="s">
        <v>42</v>
      </c>
      <c r="D4" s="30" t="s">
        <v>206</v>
      </c>
      <c r="E4" s="30" t="s">
        <v>206</v>
      </c>
      <c r="F4" s="30" t="s">
        <v>206</v>
      </c>
      <c r="G4" s="31" t="s">
        <v>206</v>
      </c>
      <c r="I4" s="32" t="s">
        <v>80</v>
      </c>
      <c r="J4" s="30" t="s">
        <v>80</v>
      </c>
      <c r="K4" s="30" t="s">
        <v>80</v>
      </c>
      <c r="L4" s="31" t="s">
        <v>80</v>
      </c>
      <c r="N4" s="32" t="s">
        <v>86</v>
      </c>
      <c r="O4" s="30" t="s">
        <v>86</v>
      </c>
      <c r="P4" s="30" t="s">
        <v>86</v>
      </c>
      <c r="Q4" s="31" t="s">
        <v>86</v>
      </c>
      <c r="S4" s="32" t="s">
        <v>116</v>
      </c>
      <c r="T4" s="30" t="s">
        <v>116</v>
      </c>
      <c r="U4" s="30" t="s">
        <v>116</v>
      </c>
      <c r="V4" s="31" t="s">
        <v>116</v>
      </c>
    </row>
    <row r="5" spans="2:22" x14ac:dyDescent="0.2">
      <c r="B5" s="388"/>
      <c r="C5" s="29" t="s">
        <v>43</v>
      </c>
      <c r="D5" s="30" t="s">
        <v>44</v>
      </c>
      <c r="E5" s="30" t="s">
        <v>44</v>
      </c>
      <c r="F5" s="30" t="s">
        <v>44</v>
      </c>
      <c r="G5" s="31" t="s">
        <v>44</v>
      </c>
      <c r="I5" s="32" t="s">
        <v>44</v>
      </c>
      <c r="J5" s="30" t="s">
        <v>44</v>
      </c>
      <c r="K5" s="30" t="s">
        <v>44</v>
      </c>
      <c r="L5" s="31" t="s">
        <v>44</v>
      </c>
      <c r="N5" s="32" t="s">
        <v>44</v>
      </c>
      <c r="O5" s="30" t="s">
        <v>44</v>
      </c>
      <c r="P5" s="30" t="s">
        <v>44</v>
      </c>
      <c r="Q5" s="31" t="s">
        <v>44</v>
      </c>
      <c r="S5" s="32" t="s">
        <v>44</v>
      </c>
      <c r="T5" s="30" t="s">
        <v>44</v>
      </c>
      <c r="U5" s="30" t="s">
        <v>44</v>
      </c>
      <c r="V5" s="31" t="s">
        <v>44</v>
      </c>
    </row>
    <row r="6" spans="2:22" ht="15" thickBot="1" x14ac:dyDescent="0.25">
      <c r="B6" s="395"/>
      <c r="C6" s="33" t="s">
        <v>3</v>
      </c>
      <c r="D6" s="34">
        <v>2021</v>
      </c>
      <c r="E6" s="34">
        <v>2027</v>
      </c>
      <c r="F6" s="34">
        <v>2035</v>
      </c>
      <c r="G6" s="35">
        <v>2050</v>
      </c>
      <c r="I6" s="36">
        <v>2021</v>
      </c>
      <c r="J6" s="34">
        <v>2027</v>
      </c>
      <c r="K6" s="34">
        <v>2035</v>
      </c>
      <c r="L6" s="35">
        <v>2050</v>
      </c>
      <c r="N6" s="36">
        <v>2021</v>
      </c>
      <c r="O6" s="34">
        <v>2027</v>
      </c>
      <c r="P6" s="34">
        <v>2035</v>
      </c>
      <c r="Q6" s="35">
        <v>2050</v>
      </c>
      <c r="S6" s="36">
        <v>2021</v>
      </c>
      <c r="T6" s="34">
        <v>2027</v>
      </c>
      <c r="U6" s="34">
        <v>2035</v>
      </c>
      <c r="V6" s="35">
        <v>2050</v>
      </c>
    </row>
    <row r="7" spans="2:22" ht="15" customHeight="1" thickTop="1" x14ac:dyDescent="0.2">
      <c r="B7" s="388" t="s">
        <v>4</v>
      </c>
      <c r="C7" s="37" t="s">
        <v>5</v>
      </c>
      <c r="D7" s="38">
        <v>1</v>
      </c>
      <c r="E7" s="38">
        <v>1</v>
      </c>
      <c r="F7" s="38">
        <v>1</v>
      </c>
      <c r="G7" s="39">
        <v>1</v>
      </c>
      <c r="I7" s="40">
        <v>4</v>
      </c>
      <c r="J7" s="41">
        <v>4</v>
      </c>
      <c r="K7" s="41">
        <v>4</v>
      </c>
      <c r="L7" s="42">
        <v>4</v>
      </c>
      <c r="N7" s="40">
        <v>2</v>
      </c>
      <c r="O7" s="41">
        <v>2</v>
      </c>
      <c r="P7" s="41">
        <v>2</v>
      </c>
      <c r="Q7" s="42">
        <v>2</v>
      </c>
      <c r="S7" s="40">
        <v>2</v>
      </c>
      <c r="T7" s="41">
        <v>2</v>
      </c>
      <c r="U7" s="41">
        <v>2</v>
      </c>
      <c r="V7" s="42">
        <v>2</v>
      </c>
    </row>
    <row r="8" spans="2:22" x14ac:dyDescent="0.2">
      <c r="B8" s="388"/>
      <c r="C8" s="43" t="s">
        <v>6</v>
      </c>
      <c r="D8" s="44">
        <v>0.57799999999999996</v>
      </c>
      <c r="E8" s="44">
        <v>0.54500000000000004</v>
      </c>
      <c r="F8" s="44">
        <v>0.47399999999999998</v>
      </c>
      <c r="G8" s="45">
        <v>0.36</v>
      </c>
      <c r="I8" s="46">
        <v>0.57799999999999996</v>
      </c>
      <c r="J8" s="44">
        <v>0.54500000000000004</v>
      </c>
      <c r="K8" s="44">
        <v>0.47399999999999998</v>
      </c>
      <c r="L8" s="45">
        <v>0.36</v>
      </c>
      <c r="N8" s="46">
        <v>0.57799999999999996</v>
      </c>
      <c r="O8" s="44">
        <v>0.54500000000000004</v>
      </c>
      <c r="P8" s="44">
        <v>0.47399999999999998</v>
      </c>
      <c r="Q8" s="45">
        <v>0.36</v>
      </c>
      <c r="S8" s="46">
        <v>0.57799999999999996</v>
      </c>
      <c r="T8" s="44">
        <v>0.54500000000000004</v>
      </c>
      <c r="U8" s="44">
        <v>0.47399999999999998</v>
      </c>
      <c r="V8" s="45">
        <v>0.36</v>
      </c>
    </row>
    <row r="9" spans="2:22" x14ac:dyDescent="0.2">
      <c r="B9" s="388"/>
      <c r="C9" s="29" t="s">
        <v>7</v>
      </c>
      <c r="D9" s="30">
        <v>10.4</v>
      </c>
      <c r="E9" s="30">
        <v>10.4</v>
      </c>
      <c r="F9" s="30">
        <v>10.4</v>
      </c>
      <c r="G9" s="31">
        <v>10.4</v>
      </c>
      <c r="I9" s="32">
        <v>10.4</v>
      </c>
      <c r="J9" s="30">
        <v>10.4</v>
      </c>
      <c r="K9" s="30">
        <v>10.4</v>
      </c>
      <c r="L9" s="31">
        <v>10.4</v>
      </c>
      <c r="N9" s="32">
        <v>10.4</v>
      </c>
      <c r="O9" s="30">
        <v>10.4</v>
      </c>
      <c r="P9" s="30">
        <v>10.4</v>
      </c>
      <c r="Q9" s="31">
        <v>10.4</v>
      </c>
      <c r="S9" s="32">
        <v>10.4</v>
      </c>
      <c r="T9" s="30">
        <v>10.4</v>
      </c>
      <c r="U9" s="30">
        <v>10.4</v>
      </c>
      <c r="V9" s="31">
        <v>10.4</v>
      </c>
    </row>
    <row r="10" spans="2:22" x14ac:dyDescent="0.2">
      <c r="B10" s="388"/>
      <c r="C10" s="43" t="s">
        <v>8</v>
      </c>
      <c r="D10" s="44">
        <v>11095</v>
      </c>
      <c r="E10" s="44">
        <v>11095</v>
      </c>
      <c r="F10" s="44">
        <v>11095</v>
      </c>
      <c r="G10" s="45">
        <v>11095</v>
      </c>
      <c r="I10" s="46">
        <v>11095</v>
      </c>
      <c r="J10" s="44">
        <v>11095</v>
      </c>
      <c r="K10" s="44">
        <v>11095</v>
      </c>
      <c r="L10" s="45">
        <v>11095</v>
      </c>
      <c r="N10" s="46">
        <v>11095</v>
      </c>
      <c r="O10" s="44">
        <v>11095</v>
      </c>
      <c r="P10" s="44">
        <v>11095</v>
      </c>
      <c r="Q10" s="45">
        <v>11095</v>
      </c>
      <c r="S10" s="46">
        <v>11095</v>
      </c>
      <c r="T10" s="44">
        <v>11095</v>
      </c>
      <c r="U10" s="44">
        <v>11095</v>
      </c>
      <c r="V10" s="45">
        <v>11095</v>
      </c>
    </row>
    <row r="11" spans="2:22" x14ac:dyDescent="0.2">
      <c r="B11" s="388"/>
      <c r="C11" s="29" t="s">
        <v>9</v>
      </c>
      <c r="D11" s="30">
        <v>0.46</v>
      </c>
      <c r="E11" s="30">
        <v>0.46</v>
      </c>
      <c r="F11" s="30">
        <v>0.46</v>
      </c>
      <c r="G11" s="31">
        <v>0.46</v>
      </c>
      <c r="I11" s="32">
        <v>0.46</v>
      </c>
      <c r="J11" s="30">
        <v>0.46</v>
      </c>
      <c r="K11" s="30">
        <v>0.46</v>
      </c>
      <c r="L11" s="31">
        <v>0.46</v>
      </c>
      <c r="N11" s="32">
        <v>0.46</v>
      </c>
      <c r="O11" s="30">
        <v>0.46</v>
      </c>
      <c r="P11" s="30">
        <v>0.46</v>
      </c>
      <c r="Q11" s="31">
        <v>0.46</v>
      </c>
      <c r="S11" s="32">
        <v>0.46</v>
      </c>
      <c r="T11" s="30">
        <v>0.46</v>
      </c>
      <c r="U11" s="30">
        <v>0.46</v>
      </c>
      <c r="V11" s="31">
        <v>0.46</v>
      </c>
    </row>
    <row r="12" spans="2:22" x14ac:dyDescent="0.2">
      <c r="B12" s="388"/>
      <c r="C12" s="29" t="s">
        <v>10</v>
      </c>
      <c r="D12" s="30">
        <v>0.8</v>
      </c>
      <c r="E12" s="30">
        <v>0.8</v>
      </c>
      <c r="F12" s="30">
        <v>0.8</v>
      </c>
      <c r="G12" s="31">
        <v>0.8</v>
      </c>
      <c r="I12" s="32">
        <v>0.8</v>
      </c>
      <c r="J12" s="30">
        <v>0.8</v>
      </c>
      <c r="K12" s="30">
        <v>0.8</v>
      </c>
      <c r="L12" s="31">
        <v>0.8</v>
      </c>
      <c r="N12" s="32">
        <v>0.8</v>
      </c>
      <c r="O12" s="30">
        <v>0.8</v>
      </c>
      <c r="P12" s="30">
        <v>0.8</v>
      </c>
      <c r="Q12" s="31">
        <v>0.8</v>
      </c>
      <c r="S12" s="32">
        <v>0.8</v>
      </c>
      <c r="T12" s="30">
        <v>0.8</v>
      </c>
      <c r="U12" s="30">
        <v>0.8</v>
      </c>
      <c r="V12" s="31">
        <v>0.8</v>
      </c>
    </row>
    <row r="13" spans="2:22" ht="14.5" customHeight="1" x14ac:dyDescent="0.2">
      <c r="B13" s="388"/>
      <c r="C13" s="29" t="s">
        <v>11</v>
      </c>
      <c r="D13" s="30">
        <v>2.2799999999999998</v>
      </c>
      <c r="E13" s="30">
        <v>2.2799999999999998</v>
      </c>
      <c r="F13" s="30">
        <v>2.2799999999999998</v>
      </c>
      <c r="G13" s="31">
        <v>2.2799999999999998</v>
      </c>
      <c r="I13" s="32">
        <v>2.2799999999999998</v>
      </c>
      <c r="J13" s="30">
        <v>2.2799999999999998</v>
      </c>
      <c r="K13" s="30">
        <v>2.2799999999999998</v>
      </c>
      <c r="L13" s="31">
        <v>2.2799999999999998</v>
      </c>
      <c r="N13" s="32">
        <v>2.2799999999999998</v>
      </c>
      <c r="O13" s="30">
        <v>2.2799999999999998</v>
      </c>
      <c r="P13" s="30">
        <v>2.2799999999999998</v>
      </c>
      <c r="Q13" s="31">
        <v>2.2799999999999998</v>
      </c>
      <c r="S13" s="32">
        <v>2.2799999999999998</v>
      </c>
      <c r="T13" s="30">
        <v>2.2799999999999998</v>
      </c>
      <c r="U13" s="30">
        <v>2.2799999999999998</v>
      </c>
      <c r="V13" s="31">
        <v>2.2799999999999998</v>
      </c>
    </row>
    <row r="14" spans="2:22" x14ac:dyDescent="0.2">
      <c r="B14" s="388"/>
      <c r="C14" s="43" t="s">
        <v>12</v>
      </c>
      <c r="D14" s="44">
        <v>17236</v>
      </c>
      <c r="E14" s="44">
        <v>17236</v>
      </c>
      <c r="F14" s="44">
        <v>17236</v>
      </c>
      <c r="G14" s="45">
        <v>17236</v>
      </c>
      <c r="I14" s="46">
        <v>17236</v>
      </c>
      <c r="J14" s="44">
        <v>17236</v>
      </c>
      <c r="K14" s="44">
        <v>17236</v>
      </c>
      <c r="L14" s="45">
        <v>17236</v>
      </c>
      <c r="N14" s="46">
        <v>17236</v>
      </c>
      <c r="O14" s="44">
        <v>17236</v>
      </c>
      <c r="P14" s="44">
        <v>17236</v>
      </c>
      <c r="Q14" s="45">
        <v>17236</v>
      </c>
      <c r="S14" s="46">
        <v>17236</v>
      </c>
      <c r="T14" s="44">
        <v>17236</v>
      </c>
      <c r="U14" s="44">
        <v>17236</v>
      </c>
      <c r="V14" s="45">
        <v>17236</v>
      </c>
    </row>
    <row r="15" spans="2:22" ht="15" thickBot="1" x14ac:dyDescent="0.25">
      <c r="B15" s="389"/>
      <c r="C15" s="33" t="s">
        <v>13</v>
      </c>
      <c r="D15" s="34"/>
      <c r="E15" s="34"/>
      <c r="F15" s="34"/>
      <c r="G15" s="35"/>
      <c r="I15" s="36"/>
      <c r="J15" s="34"/>
      <c r="K15" s="34"/>
      <c r="L15" s="35"/>
      <c r="N15" s="36"/>
      <c r="O15" s="34"/>
      <c r="P15" s="34"/>
      <c r="Q15" s="35"/>
      <c r="S15" s="36"/>
      <c r="T15" s="34"/>
      <c r="U15" s="34"/>
      <c r="V15" s="35"/>
    </row>
    <row r="16" spans="2:22" ht="15" customHeight="1" thickTop="1" x14ac:dyDescent="0.2">
      <c r="B16" s="396" t="s">
        <v>14</v>
      </c>
      <c r="C16" s="37" t="s">
        <v>15</v>
      </c>
      <c r="D16" s="38">
        <v>5000</v>
      </c>
      <c r="E16" s="38">
        <v>5000</v>
      </c>
      <c r="F16" s="38">
        <v>5000</v>
      </c>
      <c r="G16" s="39">
        <v>5000</v>
      </c>
      <c r="I16" s="47">
        <v>5000</v>
      </c>
      <c r="J16" s="48">
        <v>5000</v>
      </c>
      <c r="K16" s="48">
        <v>5000</v>
      </c>
      <c r="L16" s="49">
        <v>5000</v>
      </c>
      <c r="N16" s="50">
        <v>5000</v>
      </c>
      <c r="O16" s="51">
        <v>5000</v>
      </c>
      <c r="P16" s="51">
        <v>5000</v>
      </c>
      <c r="Q16" s="52">
        <v>5000</v>
      </c>
      <c r="S16" s="50">
        <v>5000</v>
      </c>
      <c r="T16" s="51">
        <v>5000</v>
      </c>
      <c r="U16" s="51">
        <v>5000</v>
      </c>
      <c r="V16" s="52">
        <v>5000</v>
      </c>
    </row>
    <row r="17" spans="2:22" x14ac:dyDescent="0.2">
      <c r="B17" s="388"/>
      <c r="C17" s="29" t="s">
        <v>16</v>
      </c>
      <c r="D17" s="30">
        <v>1</v>
      </c>
      <c r="E17" s="30">
        <v>1</v>
      </c>
      <c r="F17" s="30">
        <v>1</v>
      </c>
      <c r="G17" s="31">
        <v>1</v>
      </c>
      <c r="I17" s="53">
        <v>1</v>
      </c>
      <c r="J17" s="54">
        <v>1</v>
      </c>
      <c r="K17" s="54">
        <v>1</v>
      </c>
      <c r="L17" s="55">
        <v>1</v>
      </c>
      <c r="N17" s="56">
        <v>1</v>
      </c>
      <c r="O17" s="57">
        <v>1</v>
      </c>
      <c r="P17" s="57">
        <v>1</v>
      </c>
      <c r="Q17" s="58">
        <v>1</v>
      </c>
      <c r="S17" s="56">
        <v>1</v>
      </c>
      <c r="T17" s="57">
        <v>1</v>
      </c>
      <c r="U17" s="57">
        <v>1</v>
      </c>
      <c r="V17" s="58">
        <v>1</v>
      </c>
    </row>
    <row r="18" spans="2:22" x14ac:dyDescent="0.2">
      <c r="B18" s="388"/>
      <c r="C18" s="29" t="s">
        <v>17</v>
      </c>
      <c r="D18" s="30">
        <v>11385</v>
      </c>
      <c r="E18" s="30">
        <v>11385</v>
      </c>
      <c r="F18" s="30">
        <v>11385</v>
      </c>
      <c r="G18" s="31">
        <v>11385</v>
      </c>
      <c r="I18" s="53">
        <v>11385</v>
      </c>
      <c r="J18" s="54">
        <v>11385</v>
      </c>
      <c r="K18" s="54">
        <v>11385</v>
      </c>
      <c r="L18" s="55">
        <v>11385</v>
      </c>
      <c r="N18" s="56">
        <v>11385</v>
      </c>
      <c r="O18" s="57">
        <v>11385</v>
      </c>
      <c r="P18" s="57">
        <v>11385</v>
      </c>
      <c r="Q18" s="58">
        <v>11385</v>
      </c>
      <c r="S18" s="59">
        <v>1268.6500000000001</v>
      </c>
      <c r="T18" s="60">
        <v>1137.8499999999999</v>
      </c>
      <c r="U18" s="60">
        <v>1097.48</v>
      </c>
      <c r="V18" s="61">
        <v>1137.8499999999999</v>
      </c>
    </row>
    <row r="19" spans="2:22" x14ac:dyDescent="0.2">
      <c r="B19" s="388"/>
      <c r="C19" s="29" t="s">
        <v>18</v>
      </c>
      <c r="D19" s="30">
        <v>12.67</v>
      </c>
      <c r="E19" s="30">
        <v>12.67</v>
      </c>
      <c r="F19" s="30">
        <v>12.67</v>
      </c>
      <c r="G19" s="31">
        <v>12.67</v>
      </c>
      <c r="I19" s="53">
        <v>12.67</v>
      </c>
      <c r="J19" s="54">
        <v>12.67</v>
      </c>
      <c r="K19" s="54">
        <v>12.67</v>
      </c>
      <c r="L19" s="55">
        <v>12.67</v>
      </c>
      <c r="N19" s="56">
        <v>12.67</v>
      </c>
      <c r="O19" s="57">
        <v>12.67</v>
      </c>
      <c r="P19" s="57">
        <v>12.67</v>
      </c>
      <c r="Q19" s="58">
        <v>12.67</v>
      </c>
      <c r="S19" s="59">
        <v>1.55</v>
      </c>
      <c r="T19" s="60">
        <v>1.7</v>
      </c>
      <c r="U19" s="60">
        <v>1.75</v>
      </c>
      <c r="V19" s="61">
        <v>2.2000000000000002</v>
      </c>
    </row>
    <row r="20" spans="2:22" x14ac:dyDescent="0.2">
      <c r="B20" s="388"/>
      <c r="C20" s="29" t="s">
        <v>19</v>
      </c>
      <c r="D20" s="30">
        <v>331</v>
      </c>
      <c r="E20" s="30">
        <v>331</v>
      </c>
      <c r="F20" s="30">
        <v>331</v>
      </c>
      <c r="G20" s="31">
        <v>331</v>
      </c>
      <c r="I20" s="62">
        <v>331</v>
      </c>
      <c r="J20" s="63">
        <v>331</v>
      </c>
      <c r="K20" s="63">
        <v>331</v>
      </c>
      <c r="L20" s="64">
        <v>331</v>
      </c>
      <c r="N20" s="59">
        <v>328.97</v>
      </c>
      <c r="O20" s="60">
        <v>318.38</v>
      </c>
      <c r="P20" s="60">
        <v>309.02999999999997</v>
      </c>
      <c r="Q20" s="61">
        <v>287.87</v>
      </c>
      <c r="S20" s="59">
        <v>320.76</v>
      </c>
      <c r="T20" s="60">
        <v>316.42</v>
      </c>
      <c r="U20" s="60">
        <v>312.52</v>
      </c>
      <c r="V20" s="61">
        <v>294.23</v>
      </c>
    </row>
    <row r="21" spans="2:22" x14ac:dyDescent="0.2">
      <c r="B21" s="388"/>
      <c r="C21" s="29" t="s">
        <v>20</v>
      </c>
      <c r="D21" s="30">
        <v>2</v>
      </c>
      <c r="E21" s="30">
        <v>2</v>
      </c>
      <c r="F21" s="30">
        <v>2</v>
      </c>
      <c r="G21" s="31">
        <v>2</v>
      </c>
      <c r="I21" s="53">
        <v>2</v>
      </c>
      <c r="J21" s="54">
        <v>2</v>
      </c>
      <c r="K21" s="54">
        <v>2</v>
      </c>
      <c r="L21" s="55">
        <v>2</v>
      </c>
      <c r="N21" s="56">
        <v>2</v>
      </c>
      <c r="O21" s="57">
        <v>2</v>
      </c>
      <c r="P21" s="57">
        <v>2</v>
      </c>
      <c r="Q21" s="58">
        <v>2</v>
      </c>
      <c r="S21" s="56">
        <v>4</v>
      </c>
      <c r="T21" s="57">
        <v>4</v>
      </c>
      <c r="U21" s="57">
        <v>4</v>
      </c>
      <c r="V21" s="58">
        <v>4</v>
      </c>
    </row>
    <row r="22" spans="2:22" x14ac:dyDescent="0.2">
      <c r="B22" s="388"/>
      <c r="C22" s="43" t="s">
        <v>22</v>
      </c>
      <c r="D22" s="65">
        <v>0.01</v>
      </c>
      <c r="E22" s="65">
        <v>0.05</v>
      </c>
      <c r="F22" s="65">
        <v>0.1</v>
      </c>
      <c r="G22" s="66">
        <v>0.12</v>
      </c>
      <c r="H22" s="67"/>
      <c r="I22" s="68">
        <v>0.02</v>
      </c>
      <c r="J22" s="69">
        <v>0.02</v>
      </c>
      <c r="K22" s="69">
        <v>0.02</v>
      </c>
      <c r="L22" s="70">
        <v>0.02</v>
      </c>
      <c r="N22" s="71">
        <v>0.01</v>
      </c>
      <c r="O22" s="72">
        <v>0.05</v>
      </c>
      <c r="P22" s="72">
        <v>0.1</v>
      </c>
      <c r="Q22" s="73">
        <v>0.12</v>
      </c>
      <c r="S22" s="71">
        <v>4.3999999999999997E-2</v>
      </c>
      <c r="T22" s="72">
        <v>0.06</v>
      </c>
      <c r="U22" s="72">
        <v>6.7500000000000004E-2</v>
      </c>
      <c r="V22" s="73">
        <v>0.12</v>
      </c>
    </row>
    <row r="23" spans="2:22" ht="15" customHeight="1" x14ac:dyDescent="0.2">
      <c r="B23" s="388"/>
      <c r="C23" s="29" t="s">
        <v>23</v>
      </c>
      <c r="D23" s="30">
        <v>6</v>
      </c>
      <c r="E23" s="30">
        <v>6</v>
      </c>
      <c r="F23" s="30">
        <v>6</v>
      </c>
      <c r="G23" s="31">
        <v>6</v>
      </c>
      <c r="I23" s="53">
        <v>6</v>
      </c>
      <c r="J23" s="54">
        <v>6</v>
      </c>
      <c r="K23" s="54">
        <v>6</v>
      </c>
      <c r="L23" s="55">
        <v>6</v>
      </c>
      <c r="N23" s="56">
        <v>6</v>
      </c>
      <c r="O23" s="57">
        <v>6</v>
      </c>
      <c r="P23" s="57">
        <v>6</v>
      </c>
      <c r="Q23" s="58">
        <v>6</v>
      </c>
      <c r="S23" s="56">
        <v>5</v>
      </c>
      <c r="T23" s="57">
        <v>5</v>
      </c>
      <c r="U23" s="57">
        <v>5</v>
      </c>
      <c r="V23" s="58">
        <v>5</v>
      </c>
    </row>
    <row r="24" spans="2:22" x14ac:dyDescent="0.2">
      <c r="B24" s="388"/>
      <c r="C24" s="29" t="s">
        <v>24</v>
      </c>
      <c r="D24" s="30">
        <v>0</v>
      </c>
      <c r="E24" s="30">
        <v>0</v>
      </c>
      <c r="F24" s="30">
        <v>0</v>
      </c>
      <c r="G24" s="31">
        <v>0</v>
      </c>
      <c r="I24" s="53">
        <v>0</v>
      </c>
      <c r="J24" s="54">
        <v>0</v>
      </c>
      <c r="K24" s="54">
        <v>0</v>
      </c>
      <c r="L24" s="55">
        <v>0</v>
      </c>
      <c r="N24" s="56">
        <v>0</v>
      </c>
      <c r="O24" s="57">
        <v>0</v>
      </c>
      <c r="P24" s="57">
        <v>0</v>
      </c>
      <c r="Q24" s="58">
        <v>0</v>
      </c>
      <c r="S24" s="56">
        <v>0</v>
      </c>
      <c r="T24" s="57">
        <v>0</v>
      </c>
      <c r="U24" s="57">
        <v>0</v>
      </c>
      <c r="V24" s="58">
        <v>0</v>
      </c>
    </row>
    <row r="25" spans="2:22" ht="15" thickBot="1" x14ac:dyDescent="0.25">
      <c r="B25" s="389"/>
      <c r="C25" s="33" t="s">
        <v>25</v>
      </c>
      <c r="D25" s="34">
        <v>0.26</v>
      </c>
      <c r="E25" s="34">
        <v>0.26</v>
      </c>
      <c r="F25" s="34">
        <v>0.26</v>
      </c>
      <c r="G25" s="35">
        <v>0.26</v>
      </c>
      <c r="I25" s="74">
        <v>0.26</v>
      </c>
      <c r="J25" s="75">
        <v>0.26</v>
      </c>
      <c r="K25" s="75">
        <v>0.26</v>
      </c>
      <c r="L25" s="76">
        <v>0.26</v>
      </c>
      <c r="N25" s="77">
        <v>0.26</v>
      </c>
      <c r="O25" s="78">
        <v>0.26</v>
      </c>
      <c r="P25" s="78">
        <v>0.26</v>
      </c>
      <c r="Q25" s="79">
        <v>0.26</v>
      </c>
      <c r="S25" s="77">
        <v>1.02</v>
      </c>
      <c r="T25" s="78">
        <v>1.02</v>
      </c>
      <c r="U25" s="78">
        <v>1.02</v>
      </c>
      <c r="V25" s="79">
        <v>1.02</v>
      </c>
    </row>
    <row r="26" spans="2:22" ht="15" customHeight="1" thickTop="1" x14ac:dyDescent="0.2">
      <c r="B26" s="390" t="s">
        <v>56</v>
      </c>
      <c r="C26" s="80" t="s">
        <v>57</v>
      </c>
      <c r="D26" s="81">
        <v>0</v>
      </c>
      <c r="E26" s="81">
        <v>0</v>
      </c>
      <c r="F26" s="81">
        <v>0</v>
      </c>
      <c r="G26" s="82">
        <v>0</v>
      </c>
      <c r="H26" s="83"/>
      <c r="I26" s="84">
        <v>354.88</v>
      </c>
      <c r="J26" s="85">
        <v>337.75</v>
      </c>
      <c r="K26" s="85">
        <v>322.67</v>
      </c>
      <c r="L26" s="86">
        <v>299.52</v>
      </c>
      <c r="N26" s="84">
        <v>75.23</v>
      </c>
      <c r="O26" s="85">
        <v>75.23</v>
      </c>
      <c r="P26" s="85">
        <v>90.16</v>
      </c>
      <c r="Q26" s="86">
        <v>144.58000000000001</v>
      </c>
      <c r="S26" s="59">
        <v>320.76</v>
      </c>
      <c r="T26" s="60">
        <v>316.42</v>
      </c>
      <c r="U26" s="60">
        <v>312.52</v>
      </c>
      <c r="V26" s="61">
        <v>294.23</v>
      </c>
    </row>
    <row r="27" spans="2:22" x14ac:dyDescent="0.2">
      <c r="B27" s="391"/>
      <c r="C27" s="87" t="s">
        <v>58</v>
      </c>
      <c r="D27" s="88">
        <v>0.95</v>
      </c>
      <c r="E27" s="88">
        <v>0.95</v>
      </c>
      <c r="F27" s="88">
        <v>0.95</v>
      </c>
      <c r="G27" s="89">
        <v>0.95</v>
      </c>
      <c r="H27" s="90"/>
      <c r="I27" s="71">
        <v>0.93</v>
      </c>
      <c r="J27" s="72">
        <v>0.94</v>
      </c>
      <c r="K27" s="72">
        <v>0.96</v>
      </c>
      <c r="L27" s="73">
        <v>0.98</v>
      </c>
      <c r="N27" s="71">
        <v>0.93</v>
      </c>
      <c r="O27" s="72">
        <v>0.94</v>
      </c>
      <c r="P27" s="72">
        <v>0.96</v>
      </c>
      <c r="Q27" s="73">
        <v>0.98</v>
      </c>
      <c r="S27" s="71">
        <v>0.93</v>
      </c>
      <c r="T27" s="72">
        <v>0.94</v>
      </c>
      <c r="U27" s="72">
        <v>0.96</v>
      </c>
      <c r="V27" s="73">
        <v>0.98</v>
      </c>
    </row>
    <row r="28" spans="2:22" ht="14.5" customHeight="1" x14ac:dyDescent="0.2">
      <c r="B28" s="391"/>
      <c r="C28" s="87" t="s">
        <v>59</v>
      </c>
      <c r="D28" s="63">
        <v>4</v>
      </c>
      <c r="E28" s="63">
        <v>4</v>
      </c>
      <c r="F28" s="63">
        <v>4</v>
      </c>
      <c r="G28" s="64">
        <v>4</v>
      </c>
      <c r="H28" s="83"/>
      <c r="I28" s="56">
        <v>4</v>
      </c>
      <c r="J28" s="57">
        <v>4</v>
      </c>
      <c r="K28" s="57">
        <v>4</v>
      </c>
      <c r="L28" s="58">
        <v>4</v>
      </c>
      <c r="N28" s="56">
        <v>4</v>
      </c>
      <c r="O28" s="57">
        <v>4</v>
      </c>
      <c r="P28" s="57">
        <v>4</v>
      </c>
      <c r="Q28" s="58">
        <v>4</v>
      </c>
      <c r="S28" s="56">
        <v>4</v>
      </c>
      <c r="T28" s="57">
        <v>4</v>
      </c>
      <c r="U28" s="57">
        <v>4</v>
      </c>
      <c r="V28" s="58">
        <v>4</v>
      </c>
    </row>
    <row r="29" spans="2:22" x14ac:dyDescent="0.2">
      <c r="B29" s="391"/>
      <c r="C29" s="87" t="s">
        <v>60</v>
      </c>
      <c r="D29" s="63">
        <v>0.83299999999999996</v>
      </c>
      <c r="E29" s="63">
        <v>0.83299999999999996</v>
      </c>
      <c r="F29" s="63">
        <v>0.83299999999999996</v>
      </c>
      <c r="G29" s="64">
        <v>0.83299999999999996</v>
      </c>
      <c r="H29" s="83"/>
      <c r="I29" s="59">
        <v>0.28999999999999998</v>
      </c>
      <c r="J29" s="60">
        <v>0.23</v>
      </c>
      <c r="K29" s="60">
        <v>0.18</v>
      </c>
      <c r="L29" s="61">
        <v>0.08</v>
      </c>
      <c r="N29" s="59">
        <v>0.28999999999999998</v>
      </c>
      <c r="O29" s="60">
        <v>0.23</v>
      </c>
      <c r="P29" s="60">
        <v>0.18</v>
      </c>
      <c r="Q29" s="61">
        <v>0.08</v>
      </c>
      <c r="S29" s="59">
        <v>0.28999999999999998</v>
      </c>
      <c r="T29" s="60">
        <v>0.23</v>
      </c>
      <c r="U29" s="60">
        <v>0.18</v>
      </c>
      <c r="V29" s="61">
        <v>0.08</v>
      </c>
    </row>
    <row r="30" spans="2:22" ht="15" thickBot="1" x14ac:dyDescent="0.25">
      <c r="B30" s="392"/>
      <c r="C30" s="91" t="s">
        <v>61</v>
      </c>
      <c r="D30" s="92">
        <v>21.6</v>
      </c>
      <c r="E30" s="92">
        <v>21.6</v>
      </c>
      <c r="F30" s="92">
        <v>21.6</v>
      </c>
      <c r="G30" s="93">
        <v>21.6</v>
      </c>
      <c r="H30" s="83"/>
      <c r="I30" s="77">
        <v>21.6</v>
      </c>
      <c r="J30" s="78">
        <v>21.6</v>
      </c>
      <c r="K30" s="78">
        <v>21.6</v>
      </c>
      <c r="L30" s="79">
        <v>21.6</v>
      </c>
      <c r="N30" s="77">
        <v>21.6</v>
      </c>
      <c r="O30" s="78">
        <v>21.6</v>
      </c>
      <c r="P30" s="78">
        <v>21.6</v>
      </c>
      <c r="Q30" s="79">
        <v>21.6</v>
      </c>
      <c r="S30" s="77">
        <v>21.6</v>
      </c>
      <c r="T30" s="78">
        <v>21.6</v>
      </c>
      <c r="U30" s="78">
        <v>21.6</v>
      </c>
      <c r="V30" s="79">
        <v>21.6</v>
      </c>
    </row>
    <row r="31" spans="2:22" ht="15" customHeight="1" thickTop="1" x14ac:dyDescent="0.2">
      <c r="B31" s="390" t="s">
        <v>62</v>
      </c>
      <c r="C31" s="80" t="s">
        <v>63</v>
      </c>
      <c r="D31" s="81">
        <v>0</v>
      </c>
      <c r="E31" s="81">
        <v>0</v>
      </c>
      <c r="F31" s="81">
        <v>0</v>
      </c>
      <c r="G31" s="82">
        <v>0</v>
      </c>
      <c r="H31" s="83"/>
      <c r="I31" s="84">
        <v>380.64</v>
      </c>
      <c r="J31" s="85">
        <v>357.79</v>
      </c>
      <c r="K31" s="85">
        <v>337.62</v>
      </c>
      <c r="L31" s="86">
        <v>305.63</v>
      </c>
      <c r="N31" s="84">
        <v>80.69</v>
      </c>
      <c r="O31" s="85">
        <v>79.69</v>
      </c>
      <c r="P31" s="85">
        <v>94.33</v>
      </c>
      <c r="Q31" s="86">
        <v>144.58000000000001</v>
      </c>
      <c r="S31" s="84">
        <v>352.83</v>
      </c>
      <c r="T31" s="85">
        <v>348.07</v>
      </c>
      <c r="U31" s="85">
        <v>343.78</v>
      </c>
      <c r="V31" s="86">
        <v>323.64999999999998</v>
      </c>
    </row>
    <row r="32" spans="2:22" x14ac:dyDescent="0.2">
      <c r="B32" s="391"/>
      <c r="C32" s="87" t="s">
        <v>64</v>
      </c>
      <c r="D32" s="63">
        <v>0</v>
      </c>
      <c r="E32" s="63">
        <v>0</v>
      </c>
      <c r="F32" s="63">
        <v>0</v>
      </c>
      <c r="G32" s="64">
        <v>0</v>
      </c>
      <c r="H32" s="90"/>
      <c r="I32" s="59">
        <v>985.82</v>
      </c>
      <c r="J32" s="60">
        <v>838.92</v>
      </c>
      <c r="K32" s="60">
        <v>720.7</v>
      </c>
      <c r="L32" s="61">
        <v>506.57</v>
      </c>
      <c r="N32" s="59">
        <v>8.5</v>
      </c>
      <c r="O32" s="60">
        <v>8.5</v>
      </c>
      <c r="P32" s="60">
        <v>12</v>
      </c>
      <c r="Q32" s="61">
        <v>29.5</v>
      </c>
      <c r="S32" s="56">
        <v>20</v>
      </c>
      <c r="T32" s="57">
        <v>20</v>
      </c>
      <c r="U32" s="57">
        <v>20</v>
      </c>
      <c r="V32" s="58">
        <v>20</v>
      </c>
    </row>
    <row r="33" spans="2:22" x14ac:dyDescent="0.2">
      <c r="B33" s="391"/>
      <c r="C33" s="87" t="s">
        <v>65</v>
      </c>
      <c r="D33" s="63">
        <v>8</v>
      </c>
      <c r="E33" s="63">
        <v>8</v>
      </c>
      <c r="F33" s="63">
        <v>8</v>
      </c>
      <c r="G33" s="64">
        <v>8</v>
      </c>
      <c r="H33" s="83"/>
      <c r="I33" s="59">
        <v>4.34</v>
      </c>
      <c r="J33" s="60">
        <v>3.87</v>
      </c>
      <c r="K33" s="60">
        <v>3.35</v>
      </c>
      <c r="L33" s="61">
        <v>2.5</v>
      </c>
      <c r="N33" s="59">
        <v>4.34</v>
      </c>
      <c r="O33" s="60">
        <v>3.87</v>
      </c>
      <c r="P33" s="60">
        <v>3.35</v>
      </c>
      <c r="Q33" s="61">
        <v>2.5</v>
      </c>
      <c r="S33" s="59">
        <v>4.34</v>
      </c>
      <c r="T33" s="60">
        <v>3.87</v>
      </c>
      <c r="U33" s="60">
        <v>3.35</v>
      </c>
      <c r="V33" s="61">
        <v>2.5</v>
      </c>
    </row>
    <row r="34" spans="2:22" x14ac:dyDescent="0.2">
      <c r="B34" s="391"/>
      <c r="C34" s="87" t="s">
        <v>66</v>
      </c>
      <c r="D34" s="63">
        <v>75</v>
      </c>
      <c r="E34" s="63">
        <v>75</v>
      </c>
      <c r="F34" s="63">
        <v>75</v>
      </c>
      <c r="G34" s="64">
        <v>75</v>
      </c>
      <c r="H34" s="83"/>
      <c r="I34" s="56">
        <v>75</v>
      </c>
      <c r="J34" s="57">
        <v>75</v>
      </c>
      <c r="K34" s="57">
        <v>75</v>
      </c>
      <c r="L34" s="58">
        <v>75</v>
      </c>
      <c r="N34" s="56">
        <v>75</v>
      </c>
      <c r="O34" s="57">
        <v>75</v>
      </c>
      <c r="P34" s="57">
        <v>75</v>
      </c>
      <c r="Q34" s="58">
        <v>75</v>
      </c>
      <c r="S34" s="56">
        <v>75</v>
      </c>
      <c r="T34" s="57">
        <v>75</v>
      </c>
      <c r="U34" s="57">
        <v>75</v>
      </c>
      <c r="V34" s="58">
        <v>75</v>
      </c>
    </row>
    <row r="35" spans="2:22" x14ac:dyDescent="0.2">
      <c r="B35" s="391"/>
      <c r="C35" s="87" t="s">
        <v>67</v>
      </c>
      <c r="D35" s="94">
        <v>0.97</v>
      </c>
      <c r="E35" s="94">
        <v>0.97</v>
      </c>
      <c r="F35" s="94">
        <v>0.97</v>
      </c>
      <c r="G35" s="95">
        <v>0.97</v>
      </c>
      <c r="H35" s="96"/>
      <c r="I35" s="97">
        <v>0.97</v>
      </c>
      <c r="J35" s="98">
        <v>0.97</v>
      </c>
      <c r="K35" s="98">
        <v>0.97</v>
      </c>
      <c r="L35" s="99">
        <v>0.97</v>
      </c>
      <c r="N35" s="97">
        <v>0.97</v>
      </c>
      <c r="O35" s="98">
        <v>0.97</v>
      </c>
      <c r="P35" s="98">
        <v>0.97</v>
      </c>
      <c r="Q35" s="99">
        <v>0.97</v>
      </c>
      <c r="S35" s="97">
        <v>0.97</v>
      </c>
      <c r="T35" s="98">
        <v>0.97</v>
      </c>
      <c r="U35" s="98">
        <v>0.97</v>
      </c>
      <c r="V35" s="99">
        <v>0.97</v>
      </c>
    </row>
    <row r="36" spans="2:22" x14ac:dyDescent="0.2">
      <c r="B36" s="391"/>
      <c r="C36" s="87" t="s">
        <v>68</v>
      </c>
      <c r="D36" s="63">
        <v>110</v>
      </c>
      <c r="E36" s="63">
        <v>110</v>
      </c>
      <c r="F36" s="63">
        <v>110</v>
      </c>
      <c r="G36" s="64">
        <v>110</v>
      </c>
      <c r="H36" s="83"/>
      <c r="I36" s="56">
        <v>130</v>
      </c>
      <c r="J36" s="57">
        <v>130</v>
      </c>
      <c r="K36" s="57">
        <v>130</v>
      </c>
      <c r="L36" s="58">
        <v>130</v>
      </c>
      <c r="N36" s="56">
        <v>130</v>
      </c>
      <c r="O36" s="57">
        <v>130</v>
      </c>
      <c r="P36" s="57">
        <v>130</v>
      </c>
      <c r="Q36" s="58">
        <v>130</v>
      </c>
      <c r="S36" s="56">
        <v>130</v>
      </c>
      <c r="T36" s="57">
        <v>130</v>
      </c>
      <c r="U36" s="57">
        <v>130</v>
      </c>
      <c r="V36" s="58">
        <v>130</v>
      </c>
    </row>
    <row r="37" spans="2:22" ht="15" thickBot="1" x14ac:dyDescent="0.25">
      <c r="B37" s="392"/>
      <c r="C37" s="91" t="s">
        <v>69</v>
      </c>
      <c r="D37" s="92">
        <v>-0.68110000000000004</v>
      </c>
      <c r="E37" s="92">
        <v>-0.68110000000000004</v>
      </c>
      <c r="F37" s="92">
        <v>-0.68110000000000004</v>
      </c>
      <c r="G37" s="93">
        <v>-0.68110000000000004</v>
      </c>
      <c r="H37" s="83"/>
      <c r="I37" s="77">
        <v>-0.68110000000000004</v>
      </c>
      <c r="J37" s="78">
        <v>-0.68110000000000004</v>
      </c>
      <c r="K37" s="78">
        <v>-0.68110000000000004</v>
      </c>
      <c r="L37" s="79">
        <v>-0.68110000000000004</v>
      </c>
      <c r="N37" s="77">
        <v>-0.68110000000000004</v>
      </c>
      <c r="O37" s="78">
        <v>-0.68110000000000004</v>
      </c>
      <c r="P37" s="78">
        <v>-0.68110000000000004</v>
      </c>
      <c r="Q37" s="79">
        <v>-0.68110000000000004</v>
      </c>
      <c r="S37" s="77">
        <v>-0.68110000000000004</v>
      </c>
      <c r="T37" s="78">
        <v>-0.68110000000000004</v>
      </c>
      <c r="U37" s="78">
        <v>-0.68110000000000004</v>
      </c>
      <c r="V37" s="79">
        <v>-0.68110000000000004</v>
      </c>
    </row>
    <row r="38" spans="2:22" ht="15" customHeight="1" thickTop="1" x14ac:dyDescent="0.2">
      <c r="B38" s="387" t="s">
        <v>26</v>
      </c>
      <c r="C38" s="100" t="s">
        <v>27</v>
      </c>
      <c r="D38" s="41">
        <v>10</v>
      </c>
      <c r="E38" s="41">
        <v>10</v>
      </c>
      <c r="F38" s="41">
        <v>10</v>
      </c>
      <c r="G38" s="42">
        <v>10</v>
      </c>
      <c r="I38" s="40">
        <v>10</v>
      </c>
      <c r="J38" s="41">
        <v>10</v>
      </c>
      <c r="K38" s="41">
        <v>10</v>
      </c>
      <c r="L38" s="42">
        <v>10</v>
      </c>
      <c r="N38" s="40">
        <v>10</v>
      </c>
      <c r="O38" s="41">
        <v>10</v>
      </c>
      <c r="P38" s="41">
        <v>10</v>
      </c>
      <c r="Q38" s="42">
        <v>10</v>
      </c>
      <c r="S38" s="40">
        <v>10</v>
      </c>
      <c r="T38" s="41">
        <v>10</v>
      </c>
      <c r="U38" s="41">
        <v>10</v>
      </c>
      <c r="V38" s="42">
        <v>10</v>
      </c>
    </row>
    <row r="39" spans="2:22" x14ac:dyDescent="0.2">
      <c r="B39" s="388"/>
      <c r="C39" s="29" t="s">
        <v>28</v>
      </c>
      <c r="D39" s="30">
        <v>18</v>
      </c>
      <c r="E39" s="30">
        <v>18</v>
      </c>
      <c r="F39" s="30">
        <v>18</v>
      </c>
      <c r="G39" s="31">
        <v>18</v>
      </c>
      <c r="I39" s="32">
        <v>18</v>
      </c>
      <c r="J39" s="30">
        <v>18</v>
      </c>
      <c r="K39" s="30">
        <v>18</v>
      </c>
      <c r="L39" s="31">
        <v>18</v>
      </c>
      <c r="N39" s="32">
        <v>18</v>
      </c>
      <c r="O39" s="30">
        <v>18</v>
      </c>
      <c r="P39" s="30">
        <v>18</v>
      </c>
      <c r="Q39" s="31">
        <v>18</v>
      </c>
      <c r="S39" s="32">
        <v>18</v>
      </c>
      <c r="T39" s="30">
        <v>18</v>
      </c>
      <c r="U39" s="30">
        <v>18</v>
      </c>
      <c r="V39" s="31">
        <v>18</v>
      </c>
    </row>
    <row r="40" spans="2:22" x14ac:dyDescent="0.2">
      <c r="B40" s="388"/>
      <c r="C40" s="43" t="s">
        <v>29</v>
      </c>
      <c r="D40" s="44">
        <v>6.1000000000000004E-3</v>
      </c>
      <c r="E40" s="44">
        <v>5.8999999999999999E-3</v>
      </c>
      <c r="F40" s="44">
        <v>5.4999999999999997E-3</v>
      </c>
      <c r="G40" s="45">
        <v>4.0000000000000001E-3</v>
      </c>
      <c r="I40" s="46">
        <v>6.1000000000000004E-3</v>
      </c>
      <c r="J40" s="44">
        <v>5.8999999999999999E-3</v>
      </c>
      <c r="K40" s="44">
        <v>5.4999999999999997E-3</v>
      </c>
      <c r="L40" s="45">
        <v>4.0000000000000001E-3</v>
      </c>
      <c r="N40" s="46">
        <v>6.1000000000000004E-3</v>
      </c>
      <c r="O40" s="44">
        <v>5.8999999999999999E-3</v>
      </c>
      <c r="P40" s="44">
        <v>5.4999999999999997E-3</v>
      </c>
      <c r="Q40" s="45">
        <v>4.0000000000000001E-3</v>
      </c>
      <c r="S40" s="46">
        <v>6.1000000000000004E-3</v>
      </c>
      <c r="T40" s="44">
        <v>5.8999999999999999E-3</v>
      </c>
      <c r="U40" s="44">
        <v>5.4999999999999997E-3</v>
      </c>
      <c r="V40" s="45">
        <v>4.0000000000000001E-3</v>
      </c>
    </row>
    <row r="41" spans="2:22" x14ac:dyDescent="0.2">
      <c r="B41" s="388"/>
      <c r="C41" s="29" t="s">
        <v>30</v>
      </c>
      <c r="D41" s="30">
        <v>0.50600000000000001</v>
      </c>
      <c r="E41" s="30">
        <v>0.50600000000000001</v>
      </c>
      <c r="F41" s="30">
        <v>0.50600000000000001</v>
      </c>
      <c r="G41" s="31">
        <v>0.50600000000000001</v>
      </c>
      <c r="I41" s="32">
        <v>0.50600000000000001</v>
      </c>
      <c r="J41" s="30">
        <v>0.50600000000000001</v>
      </c>
      <c r="K41" s="30">
        <v>0.50600000000000001</v>
      </c>
      <c r="L41" s="31">
        <v>0.50600000000000001</v>
      </c>
      <c r="N41" s="32">
        <v>0.50600000000000001</v>
      </c>
      <c r="O41" s="30">
        <v>0.50600000000000001</v>
      </c>
      <c r="P41" s="30">
        <v>0.50600000000000001</v>
      </c>
      <c r="Q41" s="31">
        <v>0.50600000000000001</v>
      </c>
      <c r="S41" s="32">
        <v>0.50600000000000001</v>
      </c>
      <c r="T41" s="30">
        <v>0.50600000000000001</v>
      </c>
      <c r="U41" s="30">
        <v>0.50600000000000001</v>
      </c>
      <c r="V41" s="31">
        <v>0.50600000000000001</v>
      </c>
    </row>
    <row r="42" spans="2:22" ht="15" thickBot="1" x14ac:dyDescent="0.25">
      <c r="B42" s="389"/>
      <c r="C42" s="33" t="s">
        <v>31</v>
      </c>
      <c r="D42" s="34">
        <v>0.6</v>
      </c>
      <c r="E42" s="34">
        <v>0.6</v>
      </c>
      <c r="F42" s="34">
        <v>0.6</v>
      </c>
      <c r="G42" s="35">
        <v>0.6</v>
      </c>
      <c r="I42" s="36">
        <v>0.6</v>
      </c>
      <c r="J42" s="34">
        <v>0.6</v>
      </c>
      <c r="K42" s="34">
        <v>0.6</v>
      </c>
      <c r="L42" s="35">
        <v>0.6</v>
      </c>
      <c r="N42" s="36">
        <v>0.6</v>
      </c>
      <c r="O42" s="34">
        <v>0.6</v>
      </c>
      <c r="P42" s="34">
        <v>0.6</v>
      </c>
      <c r="Q42" s="35">
        <v>0.6</v>
      </c>
      <c r="S42" s="36">
        <v>0.6</v>
      </c>
      <c r="T42" s="34">
        <v>0.6</v>
      </c>
      <c r="U42" s="34">
        <v>0.6</v>
      </c>
      <c r="V42" s="35">
        <v>0.6</v>
      </c>
    </row>
    <row r="43" spans="2:22" ht="15" customHeight="1" thickTop="1" x14ac:dyDescent="0.2">
      <c r="B43" s="390" t="s">
        <v>70</v>
      </c>
      <c r="C43" s="80" t="s">
        <v>71</v>
      </c>
      <c r="D43" s="101">
        <v>0.1</v>
      </c>
      <c r="E43" s="101">
        <v>0.1</v>
      </c>
      <c r="F43" s="101">
        <v>0.1</v>
      </c>
      <c r="G43" s="102">
        <v>0.1</v>
      </c>
      <c r="H43" s="90"/>
      <c r="I43" s="103">
        <v>0.05</v>
      </c>
      <c r="J43" s="104">
        <v>0.05</v>
      </c>
      <c r="K43" s="104">
        <v>0.05</v>
      </c>
      <c r="L43" s="105">
        <v>0.05</v>
      </c>
      <c r="N43" s="103">
        <v>0.4</v>
      </c>
      <c r="O43" s="104">
        <v>0.4</v>
      </c>
      <c r="P43" s="104">
        <v>0.4</v>
      </c>
      <c r="Q43" s="105">
        <v>0.4</v>
      </c>
      <c r="S43" s="103">
        <v>0.4</v>
      </c>
      <c r="T43" s="104">
        <v>0.4</v>
      </c>
      <c r="U43" s="104">
        <v>0.4</v>
      </c>
      <c r="V43" s="105">
        <v>0.4</v>
      </c>
    </row>
    <row r="44" spans="2:22" x14ac:dyDescent="0.2">
      <c r="B44" s="391"/>
      <c r="C44" s="87" t="s">
        <v>72</v>
      </c>
      <c r="D44" s="88">
        <v>0.95</v>
      </c>
      <c r="E44" s="88">
        <v>0.95</v>
      </c>
      <c r="F44" s="88">
        <v>0.95</v>
      </c>
      <c r="G44" s="89">
        <v>0.95</v>
      </c>
      <c r="H44" s="90"/>
      <c r="I44" s="71">
        <v>0.81</v>
      </c>
      <c r="J44" s="72">
        <v>0.85</v>
      </c>
      <c r="K44" s="72">
        <v>0.89</v>
      </c>
      <c r="L44" s="73">
        <v>1</v>
      </c>
      <c r="N44" s="106">
        <v>0.8</v>
      </c>
      <c r="O44" s="107">
        <v>0.8</v>
      </c>
      <c r="P44" s="107">
        <v>0.8</v>
      </c>
      <c r="Q44" s="108">
        <v>0.8</v>
      </c>
      <c r="S44" s="106">
        <v>0.8</v>
      </c>
      <c r="T44" s="107">
        <v>0.8</v>
      </c>
      <c r="U44" s="107">
        <v>0.8</v>
      </c>
      <c r="V44" s="108">
        <v>0.8</v>
      </c>
    </row>
    <row r="45" spans="2:22" x14ac:dyDescent="0.2">
      <c r="B45" s="391"/>
      <c r="C45" s="87" t="s">
        <v>73</v>
      </c>
      <c r="D45" s="88">
        <v>0</v>
      </c>
      <c r="E45" s="88">
        <v>0</v>
      </c>
      <c r="F45" s="88">
        <v>0</v>
      </c>
      <c r="G45" s="89">
        <v>0</v>
      </c>
      <c r="H45" s="90"/>
      <c r="I45" s="106">
        <v>0</v>
      </c>
      <c r="J45" s="107">
        <v>0</v>
      </c>
      <c r="K45" s="107">
        <v>0</v>
      </c>
      <c r="L45" s="108">
        <v>0</v>
      </c>
      <c r="N45" s="106">
        <v>0</v>
      </c>
      <c r="O45" s="107">
        <v>0</v>
      </c>
      <c r="P45" s="107">
        <v>0</v>
      </c>
      <c r="Q45" s="108">
        <v>0</v>
      </c>
      <c r="S45" s="106">
        <v>0</v>
      </c>
      <c r="T45" s="107">
        <v>0</v>
      </c>
      <c r="U45" s="107">
        <v>0</v>
      </c>
      <c r="V45" s="108">
        <v>0</v>
      </c>
    </row>
    <row r="46" spans="2:22" x14ac:dyDescent="0.2">
      <c r="B46" s="391"/>
      <c r="C46" s="87" t="s">
        <v>74</v>
      </c>
      <c r="D46" s="88">
        <v>0</v>
      </c>
      <c r="E46" s="88">
        <v>0</v>
      </c>
      <c r="F46" s="88">
        <v>0</v>
      </c>
      <c r="G46" s="89">
        <v>0</v>
      </c>
      <c r="H46" s="90"/>
      <c r="I46" s="106">
        <v>0</v>
      </c>
      <c r="J46" s="107">
        <v>0</v>
      </c>
      <c r="K46" s="107">
        <v>0</v>
      </c>
      <c r="L46" s="108">
        <v>0</v>
      </c>
      <c r="N46" s="106">
        <v>0</v>
      </c>
      <c r="O46" s="107">
        <v>0</v>
      </c>
      <c r="P46" s="107">
        <v>0</v>
      </c>
      <c r="Q46" s="108">
        <v>0</v>
      </c>
      <c r="S46" s="106">
        <v>0</v>
      </c>
      <c r="T46" s="107">
        <v>0</v>
      </c>
      <c r="U46" s="107">
        <v>0</v>
      </c>
      <c r="V46" s="108">
        <v>0</v>
      </c>
    </row>
    <row r="47" spans="2:22" x14ac:dyDescent="0.2">
      <c r="B47" s="391"/>
      <c r="C47" s="87" t="s">
        <v>75</v>
      </c>
      <c r="D47" s="63">
        <v>60</v>
      </c>
      <c r="E47" s="63">
        <v>60</v>
      </c>
      <c r="F47" s="63">
        <v>60</v>
      </c>
      <c r="G47" s="64">
        <v>60</v>
      </c>
      <c r="H47" s="83"/>
      <c r="I47" s="56">
        <v>60</v>
      </c>
      <c r="J47" s="57">
        <v>60</v>
      </c>
      <c r="K47" s="57">
        <v>60</v>
      </c>
      <c r="L47" s="58">
        <v>60</v>
      </c>
      <c r="N47" s="56">
        <v>60</v>
      </c>
      <c r="O47" s="57">
        <v>60</v>
      </c>
      <c r="P47" s="57">
        <v>60</v>
      </c>
      <c r="Q47" s="58">
        <v>60</v>
      </c>
      <c r="S47" s="56">
        <v>60</v>
      </c>
      <c r="T47" s="57">
        <v>60</v>
      </c>
      <c r="U47" s="57">
        <v>60</v>
      </c>
      <c r="V47" s="58">
        <v>60</v>
      </c>
    </row>
    <row r="48" spans="2:22" x14ac:dyDescent="0.2">
      <c r="B48" s="391"/>
      <c r="C48" s="87" t="s">
        <v>76</v>
      </c>
      <c r="D48" s="63">
        <v>0.2</v>
      </c>
      <c r="E48" s="63">
        <v>0.2</v>
      </c>
      <c r="F48" s="63">
        <v>0.2</v>
      </c>
      <c r="G48" s="64">
        <v>0.2</v>
      </c>
      <c r="H48" s="83"/>
      <c r="I48" s="56">
        <v>0.2</v>
      </c>
      <c r="J48" s="57">
        <v>0.2</v>
      </c>
      <c r="K48" s="57">
        <v>0.2</v>
      </c>
      <c r="L48" s="58">
        <v>0.2</v>
      </c>
      <c r="N48" s="56">
        <v>0.2</v>
      </c>
      <c r="O48" s="57">
        <v>0.2</v>
      </c>
      <c r="P48" s="57">
        <v>0.2</v>
      </c>
      <c r="Q48" s="58">
        <v>0.2</v>
      </c>
      <c r="S48" s="56">
        <v>0.2</v>
      </c>
      <c r="T48" s="57">
        <v>0.2</v>
      </c>
      <c r="U48" s="57">
        <v>0.2</v>
      </c>
      <c r="V48" s="58">
        <v>0.2</v>
      </c>
    </row>
    <row r="49" spans="2:22" x14ac:dyDescent="0.2">
      <c r="B49" s="391"/>
      <c r="C49" s="87" t="s">
        <v>77</v>
      </c>
      <c r="D49" s="94">
        <v>0</v>
      </c>
      <c r="E49" s="94">
        <v>0</v>
      </c>
      <c r="F49" s="94">
        <v>0</v>
      </c>
      <c r="G49" s="95">
        <v>0</v>
      </c>
      <c r="H49" s="96"/>
      <c r="I49" s="97">
        <v>0</v>
      </c>
      <c r="J49" s="98">
        <v>0</v>
      </c>
      <c r="K49" s="98">
        <v>0</v>
      </c>
      <c r="L49" s="99">
        <v>0</v>
      </c>
      <c r="N49" s="97">
        <v>0</v>
      </c>
      <c r="O49" s="98">
        <v>0</v>
      </c>
      <c r="P49" s="98">
        <v>0</v>
      </c>
      <c r="Q49" s="99">
        <v>0</v>
      </c>
      <c r="S49" s="97">
        <v>0</v>
      </c>
      <c r="T49" s="98">
        <v>0</v>
      </c>
      <c r="U49" s="98">
        <v>0</v>
      </c>
      <c r="V49" s="99">
        <v>0</v>
      </c>
    </row>
    <row r="50" spans="2:22" ht="15" customHeight="1" x14ac:dyDescent="0.2">
      <c r="B50" s="391"/>
      <c r="C50" s="87" t="s">
        <v>78</v>
      </c>
      <c r="D50" s="63">
        <v>55</v>
      </c>
      <c r="E50" s="63">
        <v>55</v>
      </c>
      <c r="F50" s="63">
        <v>55</v>
      </c>
      <c r="G50" s="64">
        <v>55</v>
      </c>
      <c r="H50" s="83"/>
      <c r="I50" s="56">
        <v>55</v>
      </c>
      <c r="J50" s="57">
        <v>55</v>
      </c>
      <c r="K50" s="57">
        <v>55</v>
      </c>
      <c r="L50" s="58">
        <v>55</v>
      </c>
      <c r="N50" s="56">
        <v>55</v>
      </c>
      <c r="O50" s="57">
        <v>55</v>
      </c>
      <c r="P50" s="57">
        <v>55</v>
      </c>
      <c r="Q50" s="58">
        <v>55</v>
      </c>
      <c r="S50" s="56">
        <v>1</v>
      </c>
      <c r="T50" s="57">
        <v>1</v>
      </c>
      <c r="U50" s="57">
        <v>1</v>
      </c>
      <c r="V50" s="58">
        <v>1</v>
      </c>
    </row>
    <row r="51" spans="2:22" ht="15" thickBot="1" x14ac:dyDescent="0.25">
      <c r="B51" s="392"/>
      <c r="C51" s="91" t="s">
        <v>79</v>
      </c>
      <c r="D51" s="92">
        <v>100</v>
      </c>
      <c r="E51" s="92">
        <v>100</v>
      </c>
      <c r="F51" s="92">
        <v>100</v>
      </c>
      <c r="G51" s="93">
        <v>100</v>
      </c>
      <c r="H51" s="83"/>
      <c r="I51" s="77">
        <v>100</v>
      </c>
      <c r="J51" s="78">
        <v>100</v>
      </c>
      <c r="K51" s="78">
        <v>100</v>
      </c>
      <c r="L51" s="79">
        <v>100</v>
      </c>
      <c r="N51" s="77">
        <v>100</v>
      </c>
      <c r="O51" s="78">
        <v>100</v>
      </c>
      <c r="P51" s="78">
        <v>100</v>
      </c>
      <c r="Q51" s="79">
        <v>100</v>
      </c>
      <c r="S51" s="77">
        <v>100</v>
      </c>
      <c r="T51" s="78">
        <v>100</v>
      </c>
      <c r="U51" s="78">
        <v>100</v>
      </c>
      <c r="V51" s="79">
        <v>100</v>
      </c>
    </row>
    <row r="52" spans="2:22" ht="15" customHeight="1" thickTop="1" x14ac:dyDescent="0.2">
      <c r="B52" s="387" t="s">
        <v>32</v>
      </c>
      <c r="C52" s="100" t="s">
        <v>33</v>
      </c>
      <c r="D52" s="109">
        <v>1</v>
      </c>
      <c r="E52" s="109">
        <v>1</v>
      </c>
      <c r="F52" s="109">
        <v>1</v>
      </c>
      <c r="G52" s="110">
        <v>1</v>
      </c>
      <c r="H52" s="67"/>
      <c r="I52" s="111">
        <v>1</v>
      </c>
      <c r="J52" s="112">
        <v>1</v>
      </c>
      <c r="K52" s="112">
        <v>1</v>
      </c>
      <c r="L52" s="113">
        <v>1</v>
      </c>
      <c r="N52" s="111">
        <v>1</v>
      </c>
      <c r="O52" s="112">
        <v>1</v>
      </c>
      <c r="P52" s="112">
        <v>1</v>
      </c>
      <c r="Q52" s="113">
        <v>1</v>
      </c>
      <c r="S52" s="111">
        <v>1</v>
      </c>
      <c r="T52" s="112">
        <v>1</v>
      </c>
      <c r="U52" s="112">
        <v>1</v>
      </c>
      <c r="V52" s="113">
        <v>1</v>
      </c>
    </row>
    <row r="53" spans="2:22" x14ac:dyDescent="0.2">
      <c r="B53" s="388"/>
      <c r="C53" s="29" t="s">
        <v>34</v>
      </c>
      <c r="D53" s="114" t="s">
        <v>112</v>
      </c>
      <c r="E53" s="114" t="s">
        <v>112</v>
      </c>
      <c r="F53" s="114" t="s">
        <v>112</v>
      </c>
      <c r="G53" s="115" t="s">
        <v>112</v>
      </c>
      <c r="H53" s="67"/>
      <c r="I53" s="116">
        <v>0.86</v>
      </c>
      <c r="J53" s="65">
        <v>0.88</v>
      </c>
      <c r="K53" s="65">
        <v>0.9</v>
      </c>
      <c r="L53" s="66">
        <v>0.96</v>
      </c>
      <c r="N53" s="117" t="s">
        <v>112</v>
      </c>
      <c r="O53" s="114" t="s">
        <v>112</v>
      </c>
      <c r="P53" s="114" t="s">
        <v>112</v>
      </c>
      <c r="Q53" s="115" t="s">
        <v>112</v>
      </c>
      <c r="S53" s="117" t="s">
        <v>112</v>
      </c>
      <c r="T53" s="114" t="s">
        <v>112</v>
      </c>
      <c r="U53" s="114" t="s">
        <v>112</v>
      </c>
      <c r="V53" s="115" t="s">
        <v>112</v>
      </c>
    </row>
    <row r="54" spans="2:22" x14ac:dyDescent="0.2">
      <c r="B54" s="388"/>
      <c r="C54" s="29" t="s">
        <v>35</v>
      </c>
      <c r="D54" s="60">
        <v>3.5</v>
      </c>
      <c r="E54" s="60">
        <v>3.1</v>
      </c>
      <c r="F54" s="60">
        <v>2.8</v>
      </c>
      <c r="G54" s="61">
        <v>2.5</v>
      </c>
      <c r="I54" s="59">
        <v>3.5</v>
      </c>
      <c r="J54" s="60">
        <v>3.1</v>
      </c>
      <c r="K54" s="60">
        <v>2.8</v>
      </c>
      <c r="L54" s="61">
        <v>2.5</v>
      </c>
      <c r="N54" s="59">
        <v>3.5</v>
      </c>
      <c r="O54" s="60">
        <v>3.1</v>
      </c>
      <c r="P54" s="60">
        <v>2.8</v>
      </c>
      <c r="Q54" s="61">
        <v>2.5</v>
      </c>
      <c r="S54" s="59">
        <v>3.5</v>
      </c>
      <c r="T54" s="60">
        <v>3.1</v>
      </c>
      <c r="U54" s="60">
        <v>2.8</v>
      </c>
      <c r="V54" s="61">
        <v>2.5</v>
      </c>
    </row>
    <row r="55" spans="2:22" x14ac:dyDescent="0.2">
      <c r="B55" s="388"/>
      <c r="C55" s="29" t="s">
        <v>36</v>
      </c>
      <c r="D55" s="30" t="b">
        <v>0</v>
      </c>
      <c r="E55" s="30" t="b">
        <v>0</v>
      </c>
      <c r="F55" s="30" t="b">
        <v>0</v>
      </c>
      <c r="G55" s="31" t="b">
        <v>0</v>
      </c>
      <c r="I55" s="32" t="b">
        <v>0</v>
      </c>
      <c r="J55" s="30" t="b">
        <v>0</v>
      </c>
      <c r="K55" s="30" t="b">
        <v>0</v>
      </c>
      <c r="L55" s="31" t="b">
        <v>0</v>
      </c>
      <c r="N55" s="32" t="b">
        <v>0</v>
      </c>
      <c r="O55" s="30" t="b">
        <v>0</v>
      </c>
      <c r="P55" s="30" t="b">
        <v>0</v>
      </c>
      <c r="Q55" s="31" t="b">
        <v>0</v>
      </c>
      <c r="S55" s="32" t="b">
        <v>0</v>
      </c>
      <c r="T55" s="30" t="b">
        <v>0</v>
      </c>
      <c r="U55" s="30" t="b">
        <v>0</v>
      </c>
      <c r="V55" s="31" t="b">
        <v>0</v>
      </c>
    </row>
    <row r="56" spans="2:22" x14ac:dyDescent="0.2">
      <c r="B56" s="388"/>
      <c r="C56" s="29" t="s">
        <v>37</v>
      </c>
      <c r="D56" s="30">
        <v>300</v>
      </c>
      <c r="E56" s="30">
        <v>300</v>
      </c>
      <c r="F56" s="30">
        <v>300</v>
      </c>
      <c r="G56" s="31">
        <v>300</v>
      </c>
      <c r="I56" s="56">
        <v>300</v>
      </c>
      <c r="J56" s="57">
        <v>300</v>
      </c>
      <c r="K56" s="57">
        <v>300</v>
      </c>
      <c r="L56" s="58">
        <v>300</v>
      </c>
      <c r="N56" s="56">
        <v>300</v>
      </c>
      <c r="O56" s="57">
        <v>300</v>
      </c>
      <c r="P56" s="57">
        <v>300</v>
      </c>
      <c r="Q56" s="58">
        <v>300</v>
      </c>
      <c r="S56" s="56">
        <v>300</v>
      </c>
      <c r="T56" s="57">
        <v>300</v>
      </c>
      <c r="U56" s="57">
        <v>300</v>
      </c>
      <c r="V56" s="58">
        <v>300</v>
      </c>
    </row>
    <row r="57" spans="2:22" x14ac:dyDescent="0.2">
      <c r="B57" s="388"/>
      <c r="C57" s="29" t="s">
        <v>38</v>
      </c>
      <c r="D57" s="118">
        <v>0.97</v>
      </c>
      <c r="E57" s="119">
        <v>0.97499999999999998</v>
      </c>
      <c r="F57" s="119">
        <v>0.98</v>
      </c>
      <c r="G57" s="120">
        <v>0.98499999999999999</v>
      </c>
      <c r="H57" s="67"/>
      <c r="I57" s="121">
        <v>0.97</v>
      </c>
      <c r="J57" s="119">
        <v>0.97499999999999998</v>
      </c>
      <c r="K57" s="119">
        <v>0.98</v>
      </c>
      <c r="L57" s="120">
        <v>0.98499999999999999</v>
      </c>
      <c r="N57" s="121">
        <v>0.97</v>
      </c>
      <c r="O57" s="119">
        <v>0.97499999999999998</v>
      </c>
      <c r="P57" s="119">
        <v>0.98</v>
      </c>
      <c r="Q57" s="120">
        <v>0.98499999999999999</v>
      </c>
      <c r="S57" s="121">
        <v>0.97</v>
      </c>
      <c r="T57" s="119">
        <v>0.97499999999999998</v>
      </c>
      <c r="U57" s="119">
        <v>0.98</v>
      </c>
      <c r="V57" s="120">
        <v>0.98499999999999999</v>
      </c>
    </row>
    <row r="58" spans="2:22" x14ac:dyDescent="0.2">
      <c r="B58" s="388"/>
      <c r="C58" s="29" t="s">
        <v>39</v>
      </c>
      <c r="D58" s="30">
        <v>1.2</v>
      </c>
      <c r="E58" s="30">
        <v>1.2</v>
      </c>
      <c r="F58" s="30">
        <v>1.2</v>
      </c>
      <c r="G58" s="31">
        <v>1.2</v>
      </c>
      <c r="I58" s="32">
        <v>1.2</v>
      </c>
      <c r="J58" s="30">
        <v>1.2</v>
      </c>
      <c r="K58" s="30">
        <v>1.2</v>
      </c>
      <c r="L58" s="31">
        <v>1.2</v>
      </c>
      <c r="N58" s="32">
        <v>1.2</v>
      </c>
      <c r="O58" s="30">
        <v>1.2</v>
      </c>
      <c r="P58" s="30">
        <v>1.2</v>
      </c>
      <c r="Q58" s="31">
        <v>1.2</v>
      </c>
      <c r="S58" s="32">
        <v>1.2</v>
      </c>
      <c r="T58" s="30">
        <v>1.2</v>
      </c>
      <c r="U58" s="30">
        <v>1.2</v>
      </c>
      <c r="V58" s="31">
        <v>1.2</v>
      </c>
    </row>
    <row r="59" spans="2:22" x14ac:dyDescent="0.2">
      <c r="B59" s="388"/>
      <c r="C59" s="29" t="s">
        <v>40</v>
      </c>
      <c r="D59" s="122">
        <v>5.0000000000000001E-3</v>
      </c>
      <c r="E59" s="122">
        <v>5.0000000000000001E-3</v>
      </c>
      <c r="F59" s="122">
        <v>5.0000000000000001E-3</v>
      </c>
      <c r="G59" s="123">
        <v>5.0000000000000001E-3</v>
      </c>
      <c r="H59" s="124"/>
      <c r="I59" s="125">
        <v>5.0000000000000001E-3</v>
      </c>
      <c r="J59" s="122">
        <v>5.0000000000000001E-3</v>
      </c>
      <c r="K59" s="122">
        <v>5.0000000000000001E-3</v>
      </c>
      <c r="L59" s="123">
        <v>5.0000000000000001E-3</v>
      </c>
      <c r="N59" s="125">
        <v>5.0000000000000001E-3</v>
      </c>
      <c r="O59" s="122">
        <v>5.0000000000000001E-3</v>
      </c>
      <c r="P59" s="122">
        <v>5.0000000000000001E-3</v>
      </c>
      <c r="Q59" s="123">
        <v>5.0000000000000001E-3</v>
      </c>
      <c r="S59" s="125">
        <v>5.0000000000000001E-3</v>
      </c>
      <c r="T59" s="122">
        <v>5.0000000000000001E-3</v>
      </c>
      <c r="U59" s="122">
        <v>5.0000000000000001E-3</v>
      </c>
      <c r="V59" s="123">
        <v>5.0000000000000001E-3</v>
      </c>
    </row>
    <row r="60" spans="2:22" ht="15" thickBot="1" x14ac:dyDescent="0.25">
      <c r="B60" s="393"/>
      <c r="C60" s="126" t="s">
        <v>41</v>
      </c>
      <c r="D60" s="127">
        <v>0.9</v>
      </c>
      <c r="E60" s="127">
        <v>0.9</v>
      </c>
      <c r="F60" s="127">
        <v>0.9</v>
      </c>
      <c r="G60" s="128">
        <v>0.9</v>
      </c>
      <c r="H60" s="67"/>
      <c r="I60" s="129">
        <v>0.9</v>
      </c>
      <c r="J60" s="127">
        <v>0.9</v>
      </c>
      <c r="K60" s="127">
        <v>0.9</v>
      </c>
      <c r="L60" s="128">
        <v>0.9</v>
      </c>
      <c r="N60" s="129">
        <v>0.9</v>
      </c>
      <c r="O60" s="127">
        <v>0.9</v>
      </c>
      <c r="P60" s="127">
        <v>0.9</v>
      </c>
      <c r="Q60" s="128">
        <v>0.9</v>
      </c>
      <c r="S60" s="130">
        <v>0.9</v>
      </c>
      <c r="T60" s="127">
        <v>0.9</v>
      </c>
      <c r="U60" s="127">
        <v>0.9</v>
      </c>
      <c r="V60" s="128">
        <v>0.9</v>
      </c>
    </row>
    <row r="61" spans="2:22" x14ac:dyDescent="0.2">
      <c r="E61" s="131"/>
      <c r="F61" s="131"/>
      <c r="G61" s="131"/>
      <c r="J61" s="132"/>
      <c r="P61" s="132"/>
      <c r="S61" s="131"/>
    </row>
    <row r="62" spans="2:22" x14ac:dyDescent="0.2">
      <c r="D62" s="131"/>
      <c r="E62" s="131"/>
      <c r="F62" s="131"/>
      <c r="G62" s="131"/>
      <c r="I62" s="131"/>
      <c r="J62" s="132"/>
      <c r="K62" s="132"/>
      <c r="L62" s="132"/>
      <c r="N62" s="131"/>
      <c r="P62" s="132"/>
      <c r="Q62" s="132"/>
      <c r="S62" s="131"/>
      <c r="T62" s="132"/>
      <c r="U62" s="132"/>
      <c r="V62" s="132"/>
    </row>
    <row r="63" spans="2:22" ht="15" thickBot="1" x14ac:dyDescent="0.25">
      <c r="B63" s="133"/>
      <c r="D63" s="131"/>
      <c r="E63" s="131"/>
      <c r="F63" s="131"/>
      <c r="G63" s="131"/>
      <c r="I63" s="131"/>
      <c r="J63" s="132"/>
      <c r="K63" s="132"/>
      <c r="L63" s="132"/>
      <c r="N63" s="131"/>
      <c r="O63" s="132"/>
      <c r="P63" s="132"/>
      <c r="Q63" s="132"/>
      <c r="S63" s="131"/>
      <c r="T63" s="132"/>
      <c r="U63" s="132"/>
      <c r="V63" s="132"/>
    </row>
    <row r="64" spans="2:22" ht="14.5" customHeight="1" x14ac:dyDescent="0.2">
      <c r="B64" s="384" t="s">
        <v>211</v>
      </c>
      <c r="C64" s="134" t="s">
        <v>81</v>
      </c>
      <c r="D64" s="135">
        <v>7.1275799999999991</v>
      </c>
      <c r="E64" s="135">
        <v>8.1634999999999991</v>
      </c>
      <c r="F64" s="135">
        <v>9.8750199999999992</v>
      </c>
      <c r="G64" s="136">
        <v>12.45356</v>
      </c>
      <c r="I64" s="137">
        <v>2.6032000000000002</v>
      </c>
      <c r="J64" s="138">
        <v>2.4028999999999998</v>
      </c>
      <c r="K64" s="138">
        <v>2.0718999999999999</v>
      </c>
      <c r="L64" s="139">
        <v>1.5026999999999999</v>
      </c>
      <c r="N64" s="137">
        <v>7.3978199999999994</v>
      </c>
      <c r="O64" s="138">
        <v>8.4900399999999987</v>
      </c>
      <c r="P64" s="138">
        <v>10.347939999999998</v>
      </c>
      <c r="Q64" s="139">
        <v>14.277679999999998</v>
      </c>
      <c r="S64" s="137">
        <v>9.2219399999999982</v>
      </c>
      <c r="T64" s="138">
        <v>10.224079999999999</v>
      </c>
      <c r="U64" s="138">
        <v>11.766699999999998</v>
      </c>
      <c r="V64" s="139">
        <v>16.878739999999997</v>
      </c>
    </row>
    <row r="65" spans="2:22" x14ac:dyDescent="0.2">
      <c r="B65" s="385"/>
      <c r="C65" s="140" t="s">
        <v>82</v>
      </c>
      <c r="D65" s="141">
        <v>8.0621599999999987</v>
      </c>
      <c r="E65" s="141">
        <v>9.2219399999999982</v>
      </c>
      <c r="F65" s="141">
        <v>11.034800000000001</v>
      </c>
      <c r="G65" s="142">
        <v>13.602079999999999</v>
      </c>
      <c r="I65" s="143">
        <v>2.1983999999999999</v>
      </c>
      <c r="J65" s="144">
        <v>2.0264000000000002</v>
      </c>
      <c r="K65" s="144">
        <v>1.7562</v>
      </c>
      <c r="L65" s="145">
        <v>1.27</v>
      </c>
      <c r="N65" s="143">
        <v>8.6814599999999995</v>
      </c>
      <c r="O65" s="144">
        <v>9.9650999999999978</v>
      </c>
      <c r="P65" s="144">
        <v>12.239619999999999</v>
      </c>
      <c r="Q65" s="145">
        <v>16.980079999999997</v>
      </c>
      <c r="S65" s="143">
        <v>10.989759999999999</v>
      </c>
      <c r="T65" s="144">
        <v>12.104499999999998</v>
      </c>
      <c r="U65" s="144">
        <v>13.939879999999999</v>
      </c>
      <c r="V65" s="145">
        <v>19.33342</v>
      </c>
    </row>
    <row r="66" spans="2:22" x14ac:dyDescent="0.2">
      <c r="B66" s="385"/>
      <c r="C66" s="140" t="s">
        <v>83</v>
      </c>
      <c r="D66" s="141">
        <v>4.3913999999999991</v>
      </c>
      <c r="E66" s="141">
        <v>5.1007799999999994</v>
      </c>
      <c r="F66" s="141">
        <v>5.9677999999999995</v>
      </c>
      <c r="G66" s="142">
        <v>6.677179999999999</v>
      </c>
      <c r="I66" s="143">
        <v>2.3308</v>
      </c>
      <c r="J66" s="144">
        <v>2.1240000000000001</v>
      </c>
      <c r="K66" s="144">
        <v>1.8512999999999999</v>
      </c>
      <c r="L66" s="145">
        <v>1.4333</v>
      </c>
      <c r="N66" s="143">
        <v>5.7763799999999996</v>
      </c>
      <c r="O66" s="144">
        <v>6.8348199999999997</v>
      </c>
      <c r="P66" s="144">
        <v>8.2535799999999995</v>
      </c>
      <c r="Q66" s="145">
        <v>11.079839999999999</v>
      </c>
      <c r="S66" s="143">
        <v>10.888419999999998</v>
      </c>
      <c r="T66" s="144">
        <v>12.09324</v>
      </c>
      <c r="U66" s="144">
        <v>13.77098</v>
      </c>
      <c r="V66" s="145">
        <v>18.500179999999997</v>
      </c>
    </row>
    <row r="67" spans="2:22" ht="15" thickBot="1" x14ac:dyDescent="0.25">
      <c r="B67" s="385"/>
      <c r="C67" s="146" t="s">
        <v>84</v>
      </c>
      <c r="D67" s="147">
        <f>100/(86/D64+9/D65+5/D66)</f>
        <v>6.9828883712754717</v>
      </c>
      <c r="E67" s="147">
        <f>100/(86/E64+9/E65+5/E66)</f>
        <v>8.0058456473425093</v>
      </c>
      <c r="F67" s="147">
        <f t="shared" ref="F67:G67" si="0">100/(86/F64+9/F65+5/F66)</f>
        <v>9.6503910761051142</v>
      </c>
      <c r="G67" s="148">
        <f t="shared" si="0"/>
        <v>12.024811733929923</v>
      </c>
      <c r="I67" s="149">
        <f>(86*I64+9*I65+5*I66)/100</f>
        <v>2.5531479999999998</v>
      </c>
      <c r="J67" s="147">
        <f>(86*J64+9*J65+5*J66)/100</f>
        <v>2.35507</v>
      </c>
      <c r="K67" s="147">
        <f>(86*K64+9*K65+5*K66)/100</f>
        <v>2.0324569999999995</v>
      </c>
      <c r="L67" s="148">
        <f>(86*L64+9*L65+5*L66)/100</f>
        <v>1.4782870000000004</v>
      </c>
      <c r="N67" s="149">
        <f>100/(86/N64+9/N65+5/N66)</f>
        <v>7.3924405600129877</v>
      </c>
      <c r="O67" s="147">
        <f t="shared" ref="O67:Q67" si="1">100/(86/O64+9/O65+5/O66)</f>
        <v>8.5003534995745547</v>
      </c>
      <c r="P67" s="147">
        <f t="shared" si="1"/>
        <v>10.360603333834549</v>
      </c>
      <c r="Q67" s="148">
        <f t="shared" si="1"/>
        <v>14.27614835655746</v>
      </c>
      <c r="S67" s="149">
        <f>100/(86/S64+9/S65+5/S66)</f>
        <v>9.4306399935100629</v>
      </c>
      <c r="T67" s="147">
        <f t="shared" ref="T67:V67" si="2">100/(86/T64+9/T65+5/T66)</f>
        <v>10.450965384869823</v>
      </c>
      <c r="U67" s="147">
        <f t="shared" si="2"/>
        <v>12.022882153177445</v>
      </c>
      <c r="V67" s="148">
        <f t="shared" si="2"/>
        <v>17.149864523988825</v>
      </c>
    </row>
    <row r="68" spans="2:22" s="186" customFormat="1" ht="16" thickTop="1" thickBot="1" x14ac:dyDescent="0.25">
      <c r="B68" s="385"/>
      <c r="C68" s="190" t="s">
        <v>87</v>
      </c>
      <c r="D68" s="182">
        <v>138005</v>
      </c>
      <c r="E68" s="182">
        <v>138005</v>
      </c>
      <c r="F68" s="182">
        <v>138005</v>
      </c>
      <c r="G68" s="183">
        <v>138005</v>
      </c>
      <c r="H68" s="184"/>
      <c r="I68" s="185">
        <v>588044</v>
      </c>
      <c r="J68" s="182">
        <v>400645</v>
      </c>
      <c r="K68" s="182">
        <v>276287</v>
      </c>
      <c r="L68" s="183">
        <v>162005</v>
      </c>
      <c r="N68" s="185">
        <v>147704</v>
      </c>
      <c r="O68" s="187">
        <v>145155</v>
      </c>
      <c r="P68" s="187">
        <v>144375</v>
      </c>
      <c r="Q68" s="188">
        <v>142130</v>
      </c>
      <c r="S68" s="189">
        <v>269850</v>
      </c>
      <c r="T68" s="187">
        <v>220933</v>
      </c>
      <c r="U68" s="187">
        <v>206510</v>
      </c>
      <c r="V68" s="188">
        <v>164732</v>
      </c>
    </row>
    <row r="69" spans="2:22" ht="16" thickTop="1" thickBot="1" x14ac:dyDescent="0.25">
      <c r="B69" s="385"/>
      <c r="C69" s="151" t="s">
        <v>111</v>
      </c>
      <c r="D69" s="152">
        <v>31297</v>
      </c>
      <c r="E69" s="152">
        <v>31297</v>
      </c>
      <c r="F69" s="152">
        <v>31297</v>
      </c>
      <c r="G69" s="153">
        <v>31297</v>
      </c>
      <c r="I69" s="154">
        <v>34065</v>
      </c>
      <c r="J69" s="155">
        <v>32796</v>
      </c>
      <c r="K69" s="155">
        <v>31744</v>
      </c>
      <c r="L69" s="156">
        <v>30355</v>
      </c>
      <c r="N69" s="157">
        <v>31474</v>
      </c>
      <c r="O69" s="152">
        <v>31415</v>
      </c>
      <c r="P69" s="152">
        <v>31379</v>
      </c>
      <c r="Q69" s="158">
        <v>31316</v>
      </c>
      <c r="S69" s="157">
        <v>30382</v>
      </c>
      <c r="T69" s="152">
        <v>30163</v>
      </c>
      <c r="U69" s="152">
        <v>30075</v>
      </c>
      <c r="V69" s="158">
        <v>29862</v>
      </c>
    </row>
    <row r="70" spans="2:22" ht="15" thickTop="1" x14ac:dyDescent="0.2">
      <c r="B70" s="385"/>
      <c r="C70" s="159" t="s">
        <v>104</v>
      </c>
      <c r="D70" s="160">
        <f>300*D64</f>
        <v>2138.2739999999999</v>
      </c>
      <c r="E70" s="160">
        <f>300*E64</f>
        <v>2449.0499999999997</v>
      </c>
      <c r="F70" s="160">
        <f>300*F64</f>
        <v>2962.5059999999999</v>
      </c>
      <c r="G70" s="161">
        <f>300*G64</f>
        <v>3736.0679999999998</v>
      </c>
      <c r="I70" s="162">
        <f>I$32*(I$44-I$43)/I64</f>
        <v>287.80854333128457</v>
      </c>
      <c r="J70" s="160">
        <f t="shared" ref="J70:L70" si="3">J$32*(J$44-J$43)/J64</f>
        <v>279.30250946772651</v>
      </c>
      <c r="K70" s="160">
        <f t="shared" si="3"/>
        <v>292.18977749891405</v>
      </c>
      <c r="L70" s="161">
        <f t="shared" si="3"/>
        <v>320.25121448060156</v>
      </c>
      <c r="M70" s="24"/>
      <c r="N70" s="163">
        <f>300*N64</f>
        <v>2219.346</v>
      </c>
      <c r="O70" s="164">
        <f>300*O64</f>
        <v>2547.0119999999997</v>
      </c>
      <c r="P70" s="164">
        <f>300*P64</f>
        <v>3104.3819999999992</v>
      </c>
      <c r="Q70" s="165">
        <f>300*Q64</f>
        <v>4283.3039999999992</v>
      </c>
      <c r="S70" s="162">
        <f>$S$18/8.7*S64</f>
        <v>1344.7602506896551</v>
      </c>
      <c r="T70" s="160">
        <f>$T$18/8.7*T64</f>
        <v>1337.1803940229884</v>
      </c>
      <c r="U70" s="160">
        <f>$U$18/8.7*U64</f>
        <v>1484.335392643678</v>
      </c>
      <c r="V70" s="161">
        <f>$V$18/8.7*V64</f>
        <v>2207.5257826436778</v>
      </c>
    </row>
    <row r="71" spans="2:22" x14ac:dyDescent="0.2">
      <c r="B71" s="385"/>
      <c r="C71" s="140" t="s">
        <v>105</v>
      </c>
      <c r="D71" s="160">
        <f t="shared" ref="D71:G73" si="4">300*D65</f>
        <v>2418.6479999999997</v>
      </c>
      <c r="E71" s="160">
        <f t="shared" si="4"/>
        <v>2766.5819999999994</v>
      </c>
      <c r="F71" s="160">
        <f t="shared" si="4"/>
        <v>3310.44</v>
      </c>
      <c r="G71" s="161">
        <f t="shared" si="4"/>
        <v>4080.6239999999998</v>
      </c>
      <c r="I71" s="166">
        <f t="shared" ref="I71:L73" si="5">I$32*(I$44-I$43)/I65</f>
        <v>340.80385735080063</v>
      </c>
      <c r="J71" s="167">
        <f t="shared" si="5"/>
        <v>331.19621002763517</v>
      </c>
      <c r="K71" s="167">
        <f t="shared" si="5"/>
        <v>344.71472497437651</v>
      </c>
      <c r="L71" s="168">
        <f t="shared" si="5"/>
        <v>378.93031496062991</v>
      </c>
      <c r="M71" s="24"/>
      <c r="N71" s="163">
        <f t="shared" ref="N71:Q73" si="6">300*N65</f>
        <v>2604.4379999999996</v>
      </c>
      <c r="O71" s="169">
        <f t="shared" si="6"/>
        <v>2989.5299999999993</v>
      </c>
      <c r="P71" s="169">
        <f t="shared" si="6"/>
        <v>3671.8859999999995</v>
      </c>
      <c r="Q71" s="161">
        <f t="shared" si="6"/>
        <v>5094.0239999999994</v>
      </c>
      <c r="S71" s="166">
        <f>$S$18/8.7*S65</f>
        <v>1602.5470142528736</v>
      </c>
      <c r="T71" s="167">
        <f>$T$18/8.7*T65</f>
        <v>1583.1155545977008</v>
      </c>
      <c r="U71" s="167">
        <f t="shared" ref="U71:U73" si="7">$U$18/8.7*U65</f>
        <v>1758.4758048735632</v>
      </c>
      <c r="V71" s="168">
        <f t="shared" ref="V71:V73" si="8">$V$18/8.7*V65</f>
        <v>2528.5668904597701</v>
      </c>
    </row>
    <row r="72" spans="2:22" x14ac:dyDescent="0.2">
      <c r="B72" s="385"/>
      <c r="C72" s="140" t="s">
        <v>106</v>
      </c>
      <c r="D72" s="160">
        <f t="shared" si="4"/>
        <v>1317.4199999999996</v>
      </c>
      <c r="E72" s="160">
        <f t="shared" si="4"/>
        <v>1530.2339999999999</v>
      </c>
      <c r="F72" s="160">
        <f t="shared" si="4"/>
        <v>1790.34</v>
      </c>
      <c r="G72" s="161">
        <f t="shared" si="4"/>
        <v>2003.1539999999998</v>
      </c>
      <c r="I72" s="166">
        <f t="shared" si="5"/>
        <v>321.44465419598424</v>
      </c>
      <c r="J72" s="167">
        <f t="shared" si="5"/>
        <v>315.97740112994347</v>
      </c>
      <c r="K72" s="167">
        <f t="shared" si="5"/>
        <v>327.00696807648683</v>
      </c>
      <c r="L72" s="168">
        <f t="shared" si="5"/>
        <v>335.75769203934971</v>
      </c>
      <c r="N72" s="163">
        <f t="shared" si="6"/>
        <v>1732.914</v>
      </c>
      <c r="O72" s="169">
        <f t="shared" si="6"/>
        <v>2050.4459999999999</v>
      </c>
      <c r="P72" s="169">
        <f t="shared" si="6"/>
        <v>2476.0739999999996</v>
      </c>
      <c r="Q72" s="161">
        <f t="shared" si="6"/>
        <v>3323.9519999999998</v>
      </c>
      <c r="S72" s="166">
        <f t="shared" ref="S72:S73" si="9">$S$18/8.7*S66</f>
        <v>1587.7694290804598</v>
      </c>
      <c r="T72" s="167">
        <f t="shared" ref="T72:T73" si="10">$T$18/8.7*T66</f>
        <v>1581.6428889655172</v>
      </c>
      <c r="U72" s="167">
        <f t="shared" si="7"/>
        <v>1737.169555218391</v>
      </c>
      <c r="V72" s="168">
        <f t="shared" si="8"/>
        <v>2419.5896336781602</v>
      </c>
    </row>
    <row r="73" spans="2:22" ht="15" thickBot="1" x14ac:dyDescent="0.25">
      <c r="B73" s="386"/>
      <c r="C73" s="170" t="s">
        <v>107</v>
      </c>
      <c r="D73" s="171">
        <f t="shared" si="4"/>
        <v>2094.8665113826414</v>
      </c>
      <c r="E73" s="171">
        <f t="shared" si="4"/>
        <v>2401.7536942027527</v>
      </c>
      <c r="F73" s="171">
        <f t="shared" si="4"/>
        <v>2895.1173228315342</v>
      </c>
      <c r="G73" s="172">
        <f t="shared" si="4"/>
        <v>3607.443520178977</v>
      </c>
      <c r="I73" s="173">
        <f t="shared" si="5"/>
        <v>293.45075177780529</v>
      </c>
      <c r="J73" s="171">
        <f t="shared" si="5"/>
        <v>284.97496889689052</v>
      </c>
      <c r="K73" s="171">
        <f t="shared" si="5"/>
        <v>297.86017613164762</v>
      </c>
      <c r="L73" s="172">
        <f t="shared" si="5"/>
        <v>325.53996619059751</v>
      </c>
      <c r="N73" s="173">
        <f t="shared" si="6"/>
        <v>2217.7321680038963</v>
      </c>
      <c r="O73" s="171">
        <f t="shared" si="6"/>
        <v>2550.1060498723664</v>
      </c>
      <c r="P73" s="171">
        <f t="shared" si="6"/>
        <v>3108.1810001503645</v>
      </c>
      <c r="Q73" s="172">
        <f t="shared" si="6"/>
        <v>4282.844506967238</v>
      </c>
      <c r="S73" s="173">
        <f t="shared" si="9"/>
        <v>1375.1932675593728</v>
      </c>
      <c r="T73" s="171">
        <f t="shared" si="10"/>
        <v>1366.8541336981755</v>
      </c>
      <c r="U73" s="171">
        <f t="shared" si="7"/>
        <v>1516.6520351114004</v>
      </c>
      <c r="V73" s="172">
        <f t="shared" si="8"/>
        <v>2242.9854423701936</v>
      </c>
    </row>
    <row r="74" spans="2:22" x14ac:dyDescent="0.2">
      <c r="B74" s="22"/>
      <c r="C74" s="174" t="s">
        <v>124</v>
      </c>
      <c r="D74" s="178">
        <v>7.1753319263703306</v>
      </c>
      <c r="E74" s="178">
        <v>8.1440022477446199</v>
      </c>
      <c r="F74" s="178"/>
      <c r="G74" s="179"/>
      <c r="I74" s="132"/>
      <c r="J74" s="132"/>
      <c r="K74" s="132"/>
      <c r="L74" s="132"/>
      <c r="N74" s="131"/>
      <c r="O74" s="132"/>
      <c r="P74" s="132"/>
      <c r="Q74" s="132"/>
      <c r="S74" s="131"/>
      <c r="T74" s="132"/>
      <c r="U74" s="132"/>
      <c r="V74" s="132"/>
    </row>
    <row r="75" spans="2:22" x14ac:dyDescent="0.2">
      <c r="B75" s="22"/>
      <c r="C75" s="174" t="s">
        <v>122</v>
      </c>
      <c r="D75" s="178">
        <f>D67*Constant!$D$17/Constant!$D$7</f>
        <v>6.999934412031342</v>
      </c>
      <c r="E75" s="178">
        <f>E67*Constant!$D$17/Constant!$D$7</f>
        <v>8.0253888455054909</v>
      </c>
      <c r="F75" s="177">
        <f>F67*Constant!$D$17/Constant!$D$7</f>
        <v>9.6739488004803267</v>
      </c>
      <c r="G75" s="180">
        <f>G67*Constant!$D$17/Constant!$D$7</f>
        <v>12.054165694640711</v>
      </c>
      <c r="I75" s="132"/>
      <c r="L75" s="132"/>
      <c r="N75" s="131"/>
      <c r="P75" s="132"/>
      <c r="Q75" s="132"/>
      <c r="S75" s="131"/>
      <c r="T75" s="132"/>
      <c r="U75" s="132"/>
      <c r="V75" s="132"/>
    </row>
    <row r="76" spans="2:22" x14ac:dyDescent="0.2">
      <c r="B76" s="175"/>
      <c r="C76" s="174" t="s">
        <v>123</v>
      </c>
      <c r="D76" s="174">
        <f>D75/D74-1</f>
        <v>-2.4444515757435337E-2</v>
      </c>
      <c r="E76" s="181">
        <f>E75/E74-1</f>
        <v>-1.4564510007592069E-2</v>
      </c>
      <c r="I76" s="131"/>
      <c r="N76" s="131"/>
      <c r="P76" s="132"/>
      <c r="U76" s="132"/>
    </row>
    <row r="77" spans="2:22" x14ac:dyDescent="0.2">
      <c r="B77" s="175"/>
      <c r="C77" s="174"/>
      <c r="D77" s="174"/>
      <c r="E77" s="181"/>
      <c r="I77" s="131"/>
      <c r="N77" s="131"/>
      <c r="P77" s="132"/>
      <c r="U77" s="132"/>
    </row>
    <row r="78" spans="2:22" x14ac:dyDescent="0.2">
      <c r="B78" s="175"/>
      <c r="C78" s="265" t="s">
        <v>287</v>
      </c>
      <c r="D78" s="266">
        <f>D67</f>
        <v>6.9828883712754717</v>
      </c>
      <c r="E78" s="266">
        <f>E67</f>
        <v>8.0058456473425093</v>
      </c>
      <c r="F78" s="266">
        <f>F67</f>
        <v>9.6503910761051142</v>
      </c>
      <c r="G78" s="266">
        <f>G67</f>
        <v>12.024811733929923</v>
      </c>
      <c r="H78" s="267"/>
      <c r="I78" s="269">
        <f>dge2kWh/I67</f>
        <v>14.901348039535684</v>
      </c>
      <c r="J78" s="269">
        <f>dge2kWh/J67</f>
        <v>16.154656525897085</v>
      </c>
      <c r="K78" s="269">
        <f>dge2kWh/K67</f>
        <v>18.7188939025251</v>
      </c>
      <c r="L78" s="269">
        <f>dge2kWh/L67</f>
        <v>25.736103303651074</v>
      </c>
      <c r="M78" s="268"/>
      <c r="N78" s="269">
        <f>N67</f>
        <v>7.3924405600129877</v>
      </c>
      <c r="O78" s="269">
        <f t="shared" ref="O78:Q78" si="11">O67</f>
        <v>8.5003534995745547</v>
      </c>
      <c r="P78" s="269">
        <f t="shared" si="11"/>
        <v>10.360603333834549</v>
      </c>
      <c r="Q78" s="269">
        <f t="shared" si="11"/>
        <v>14.27614835655746</v>
      </c>
      <c r="R78" s="266"/>
      <c r="S78" s="269">
        <f>S67</f>
        <v>9.4306399935100629</v>
      </c>
      <c r="T78" s="269">
        <f>T67</f>
        <v>10.450965384869823</v>
      </c>
      <c r="U78" s="269">
        <f>U67</f>
        <v>12.022882153177445</v>
      </c>
      <c r="V78" s="270">
        <f>V67</f>
        <v>17.149864523988825</v>
      </c>
    </row>
    <row r="79" spans="2:22" x14ac:dyDescent="0.2">
      <c r="B79" s="175"/>
      <c r="C79" s="22" t="s">
        <v>214</v>
      </c>
      <c r="D79" s="184">
        <v>0</v>
      </c>
      <c r="E79" s="184">
        <v>0</v>
      </c>
      <c r="F79" s="184">
        <v>0</v>
      </c>
      <c r="G79" s="184">
        <v>0</v>
      </c>
      <c r="H79" s="22"/>
      <c r="I79" s="184">
        <v>0</v>
      </c>
      <c r="J79" s="184">
        <v>0</v>
      </c>
      <c r="K79" s="184">
        <v>0</v>
      </c>
      <c r="L79" s="184">
        <v>0</v>
      </c>
      <c r="N79" s="184">
        <v>0</v>
      </c>
      <c r="O79" s="184">
        <v>0</v>
      </c>
      <c r="P79" s="184">
        <v>0</v>
      </c>
      <c r="Q79" s="184">
        <v>0</v>
      </c>
      <c r="S79" s="184">
        <v>0</v>
      </c>
      <c r="T79" s="184">
        <v>0</v>
      </c>
      <c r="U79" s="184">
        <v>0</v>
      </c>
      <c r="V79" s="184">
        <v>0</v>
      </c>
    </row>
    <row r="80" spans="2:22" x14ac:dyDescent="0.2">
      <c r="B80" s="175"/>
      <c r="C80" s="22" t="s">
        <v>215</v>
      </c>
      <c r="D80" s="184">
        <v>0</v>
      </c>
      <c r="E80" s="184">
        <v>0</v>
      </c>
      <c r="F80" s="184">
        <v>0</v>
      </c>
      <c r="G80" s="184">
        <v>0</v>
      </c>
      <c r="H80" s="22"/>
      <c r="I80" s="184">
        <v>0</v>
      </c>
      <c r="J80" s="184">
        <v>0</v>
      </c>
      <c r="K80" s="184">
        <v>0</v>
      </c>
      <c r="L80" s="184">
        <v>0</v>
      </c>
      <c r="N80" s="184">
        <v>0</v>
      </c>
      <c r="O80" s="184">
        <v>0</v>
      </c>
      <c r="P80" s="184">
        <v>0</v>
      </c>
      <c r="Q80" s="184">
        <v>0</v>
      </c>
      <c r="S80" s="184">
        <v>0</v>
      </c>
      <c r="T80" s="184">
        <v>0</v>
      </c>
      <c r="U80" s="184">
        <v>0</v>
      </c>
      <c r="V80" s="184">
        <v>0</v>
      </c>
    </row>
    <row r="81" spans="2:22" x14ac:dyDescent="0.2">
      <c r="B81" s="175"/>
      <c r="C81" s="22" t="s">
        <v>216</v>
      </c>
      <c r="D81" s="184">
        <v>0</v>
      </c>
      <c r="E81" s="184">
        <v>0</v>
      </c>
      <c r="F81" s="184">
        <v>0</v>
      </c>
      <c r="G81" s="184">
        <v>0</v>
      </c>
      <c r="H81" s="22"/>
      <c r="I81" s="184">
        <v>0</v>
      </c>
      <c r="J81" s="184">
        <v>0</v>
      </c>
      <c r="K81" s="184">
        <v>0</v>
      </c>
      <c r="L81" s="184">
        <v>0</v>
      </c>
      <c r="N81" s="184">
        <v>0</v>
      </c>
      <c r="O81" s="184">
        <v>0</v>
      </c>
      <c r="P81" s="184">
        <v>0</v>
      </c>
      <c r="Q81" s="184">
        <v>0</v>
      </c>
      <c r="S81" s="184">
        <v>0</v>
      </c>
      <c r="T81" s="184">
        <v>0</v>
      </c>
      <c r="U81" s="184">
        <v>0</v>
      </c>
      <c r="V81" s="184">
        <v>0</v>
      </c>
    </row>
    <row r="82" spans="2:22" x14ac:dyDescent="0.2">
      <c r="B82" s="22"/>
      <c r="C82" s="22" t="s">
        <v>217</v>
      </c>
      <c r="D82" s="184">
        <v>0</v>
      </c>
      <c r="E82" s="184">
        <v>10700</v>
      </c>
      <c r="F82" s="184">
        <v>13500</v>
      </c>
      <c r="G82" s="184">
        <v>14100</v>
      </c>
      <c r="I82" s="184">
        <v>0</v>
      </c>
      <c r="J82" s="184">
        <v>0</v>
      </c>
      <c r="K82" s="184">
        <v>0</v>
      </c>
      <c r="L82" s="184">
        <v>0</v>
      </c>
      <c r="N82" s="184">
        <v>0</v>
      </c>
      <c r="O82" s="184">
        <v>10700</v>
      </c>
      <c r="P82" s="184">
        <v>13500</v>
      </c>
      <c r="Q82" s="184">
        <v>14100</v>
      </c>
      <c r="S82" s="184">
        <v>0</v>
      </c>
      <c r="T82" s="184">
        <v>0</v>
      </c>
      <c r="U82" s="184">
        <v>0</v>
      </c>
      <c r="V82" s="184">
        <v>0</v>
      </c>
    </row>
    <row r="83" spans="2:22" x14ac:dyDescent="0.2">
      <c r="C83" s="271" t="s">
        <v>213</v>
      </c>
      <c r="D83" s="272">
        <f>D68+SUM(D79:D82)</f>
        <v>138005</v>
      </c>
      <c r="E83" s="272">
        <f t="shared" ref="E83:G83" si="12">E68+SUM(E79:E82)</f>
        <v>148705</v>
      </c>
      <c r="F83" s="272">
        <f t="shared" si="12"/>
        <v>151505</v>
      </c>
      <c r="G83" s="272">
        <f t="shared" si="12"/>
        <v>152105</v>
      </c>
      <c r="H83" s="267"/>
      <c r="I83" s="272">
        <f t="shared" ref="I83:L83" si="13">I68+SUM(I79:I82)</f>
        <v>588044</v>
      </c>
      <c r="J83" s="272">
        <f t="shared" si="13"/>
        <v>400645</v>
      </c>
      <c r="K83" s="272">
        <f t="shared" si="13"/>
        <v>276287</v>
      </c>
      <c r="L83" s="272">
        <f t="shared" si="13"/>
        <v>162005</v>
      </c>
      <c r="M83" s="268"/>
      <c r="N83" s="272">
        <f t="shared" ref="N83:Q83" si="14">N68+SUM(N79:N82)</f>
        <v>147704</v>
      </c>
      <c r="O83" s="272">
        <f t="shared" si="14"/>
        <v>155855</v>
      </c>
      <c r="P83" s="272">
        <f t="shared" si="14"/>
        <v>157875</v>
      </c>
      <c r="Q83" s="272">
        <f t="shared" si="14"/>
        <v>156230</v>
      </c>
      <c r="R83" s="268"/>
      <c r="S83" s="272">
        <f t="shared" ref="S83:V83" si="15">S68+SUM(S79:S82)</f>
        <v>269850</v>
      </c>
      <c r="T83" s="272">
        <f t="shared" si="15"/>
        <v>220933</v>
      </c>
      <c r="U83" s="272">
        <f t="shared" si="15"/>
        <v>206510</v>
      </c>
      <c r="V83" s="273">
        <f t="shared" si="15"/>
        <v>164732</v>
      </c>
    </row>
    <row r="86" spans="2:22" x14ac:dyDescent="0.2">
      <c r="B86" s="133"/>
    </row>
    <row r="87" spans="2:22" x14ac:dyDescent="0.2">
      <c r="B87" s="176"/>
      <c r="C87" s="177"/>
      <c r="D87" s="177"/>
      <c r="E87" s="177"/>
    </row>
    <row r="88" spans="2:22" x14ac:dyDescent="0.2">
      <c r="B88" s="176"/>
      <c r="D88" s="22"/>
    </row>
    <row r="89" spans="2:22" x14ac:dyDescent="0.2">
      <c r="B89" s="176"/>
      <c r="C89" s="174"/>
      <c r="D89" s="174"/>
    </row>
    <row r="90" spans="2:22" x14ac:dyDescent="0.2">
      <c r="B90" s="22"/>
    </row>
    <row r="91" spans="2:22" x14ac:dyDescent="0.2">
      <c r="B91" s="22"/>
    </row>
    <row r="92" spans="2:22" x14ac:dyDescent="0.2">
      <c r="B92" s="22"/>
    </row>
    <row r="93" spans="2:22" x14ac:dyDescent="0.2">
      <c r="B93" s="22"/>
    </row>
  </sheetData>
  <mergeCells count="9">
    <mergeCell ref="B43:B51"/>
    <mergeCell ref="B52:B60"/>
    <mergeCell ref="B64:B73"/>
    <mergeCell ref="B3:B6"/>
    <mergeCell ref="B7:B15"/>
    <mergeCell ref="B16:B25"/>
    <mergeCell ref="B26:B30"/>
    <mergeCell ref="B31:B37"/>
    <mergeCell ref="B38:B42"/>
  </mergeCells>
  <conditionalFormatting sqref="C28:C30">
    <cfRule type="expression" dxfId="11" priority="4">
      <formula>$C$53=0</formula>
    </cfRule>
  </conditionalFormatting>
  <conditionalFormatting sqref="C31:C37 C43:C44">
    <cfRule type="expression" dxfId="10" priority="3">
      <formula>$C$54=0</formula>
    </cfRule>
  </conditionalFormatting>
  <conditionalFormatting sqref="C45:C48">
    <cfRule type="expression" dxfId="9" priority="2">
      <formula>#REF!=2</formula>
    </cfRule>
  </conditionalFormatting>
  <conditionalFormatting sqref="C45:C51">
    <cfRule type="expression" dxfId="8" priority="1">
      <formula>OR($C$37=0,$C$44=0,$C$45=0)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6619-7676-4C69-B07A-289C86F33C85}">
  <sheetPr codeName="Sheet8"/>
  <dimension ref="B2:AB109"/>
  <sheetViews>
    <sheetView topLeftCell="A57" zoomScaleNormal="100" workbookViewId="0">
      <selection activeCell="C106" sqref="C106:L110"/>
    </sheetView>
  </sheetViews>
  <sheetFormatPr baseColWidth="10" defaultColWidth="9.1640625" defaultRowHeight="14" x14ac:dyDescent="0.2"/>
  <cols>
    <col min="1" max="1" width="9.1640625" style="22"/>
    <col min="2" max="2" width="3.5" style="23" bestFit="1" customWidth="1"/>
    <col min="3" max="3" width="34.5" style="22" customWidth="1"/>
    <col min="4" max="7" width="10.5" style="24" customWidth="1"/>
    <col min="8" max="8" width="2.5" style="24" customWidth="1"/>
    <col min="9" max="9" width="10.5" style="24" customWidth="1"/>
    <col min="10" max="12" width="10.5" style="22" customWidth="1"/>
    <col min="13" max="13" width="2.33203125" style="22" customWidth="1"/>
    <col min="14" max="14" width="10.5" style="24" customWidth="1"/>
    <col min="15" max="17" width="10.5" style="22" customWidth="1"/>
    <col min="18" max="18" width="2.5" style="22" customWidth="1"/>
    <col min="19" max="19" width="10.5" style="24" customWidth="1"/>
    <col min="20" max="22" width="10.5" style="22" customWidth="1"/>
    <col min="23" max="23" width="2.5" style="22" customWidth="1"/>
    <col min="24" max="16384" width="9.1640625" style="22"/>
  </cols>
  <sheetData>
    <row r="2" spans="2:22" ht="14.5" customHeight="1" thickBot="1" x14ac:dyDescent="0.25"/>
    <row r="3" spans="2:22" ht="15" customHeight="1" x14ac:dyDescent="0.2">
      <c r="B3" s="394" t="s">
        <v>0</v>
      </c>
      <c r="C3" s="25" t="s">
        <v>1</v>
      </c>
      <c r="D3" s="26" t="s">
        <v>208</v>
      </c>
      <c r="E3" s="26" t="s">
        <v>208</v>
      </c>
      <c r="F3" s="26" t="s">
        <v>208</v>
      </c>
      <c r="G3" s="27" t="s">
        <v>208</v>
      </c>
      <c r="I3" s="28" t="s">
        <v>208</v>
      </c>
      <c r="J3" s="26" t="s">
        <v>208</v>
      </c>
      <c r="K3" s="26" t="s">
        <v>208</v>
      </c>
      <c r="L3" s="27" t="s">
        <v>208</v>
      </c>
      <c r="N3" s="28" t="s">
        <v>208</v>
      </c>
      <c r="O3" s="26" t="s">
        <v>208</v>
      </c>
      <c r="P3" s="26" t="s">
        <v>208</v>
      </c>
      <c r="Q3" s="27" t="s">
        <v>208</v>
      </c>
      <c r="S3" s="28" t="s">
        <v>208</v>
      </c>
      <c r="T3" s="26" t="s">
        <v>208</v>
      </c>
      <c r="U3" s="26" t="s">
        <v>208</v>
      </c>
      <c r="V3" s="27" t="s">
        <v>208</v>
      </c>
    </row>
    <row r="4" spans="2:22" ht="15" customHeight="1" x14ac:dyDescent="0.2">
      <c r="B4" s="388"/>
      <c r="C4" s="29" t="s">
        <v>42</v>
      </c>
      <c r="D4" s="30" t="s">
        <v>206</v>
      </c>
      <c r="E4" s="30" t="s">
        <v>206</v>
      </c>
      <c r="F4" s="30" t="s">
        <v>206</v>
      </c>
      <c r="G4" s="31" t="s">
        <v>206</v>
      </c>
      <c r="I4" s="32" t="s">
        <v>80</v>
      </c>
      <c r="J4" s="30" t="s">
        <v>80</v>
      </c>
      <c r="K4" s="30" t="s">
        <v>80</v>
      </c>
      <c r="L4" s="31" t="s">
        <v>80</v>
      </c>
      <c r="N4" s="32" t="s">
        <v>86</v>
      </c>
      <c r="O4" s="30" t="s">
        <v>86</v>
      </c>
      <c r="P4" s="30" t="s">
        <v>86</v>
      </c>
      <c r="Q4" s="31" t="s">
        <v>86</v>
      </c>
      <c r="S4" s="32" t="s">
        <v>116</v>
      </c>
      <c r="T4" s="30" t="s">
        <v>116</v>
      </c>
      <c r="U4" s="30" t="s">
        <v>116</v>
      </c>
      <c r="V4" s="31" t="s">
        <v>116</v>
      </c>
    </row>
    <row r="5" spans="2:22" x14ac:dyDescent="0.2">
      <c r="B5" s="388"/>
      <c r="C5" s="29" t="s">
        <v>43</v>
      </c>
      <c r="D5" s="30" t="s">
        <v>44</v>
      </c>
      <c r="E5" s="30" t="s">
        <v>44</v>
      </c>
      <c r="F5" s="30" t="s">
        <v>44</v>
      </c>
      <c r="G5" s="31" t="s">
        <v>44</v>
      </c>
      <c r="I5" s="32" t="s">
        <v>44</v>
      </c>
      <c r="J5" s="30" t="s">
        <v>44</v>
      </c>
      <c r="K5" s="30" t="s">
        <v>44</v>
      </c>
      <c r="L5" s="31" t="s">
        <v>44</v>
      </c>
      <c r="N5" s="32" t="s">
        <v>44</v>
      </c>
      <c r="O5" s="30" t="s">
        <v>44</v>
      </c>
      <c r="P5" s="30" t="s">
        <v>44</v>
      </c>
      <c r="Q5" s="31" t="s">
        <v>44</v>
      </c>
      <c r="S5" s="32" t="s">
        <v>44</v>
      </c>
      <c r="T5" s="30" t="s">
        <v>44</v>
      </c>
      <c r="U5" s="30" t="s">
        <v>44</v>
      </c>
      <c r="V5" s="31" t="s">
        <v>44</v>
      </c>
    </row>
    <row r="6" spans="2:22" ht="15" thickBot="1" x14ac:dyDescent="0.25">
      <c r="B6" s="395"/>
      <c r="C6" s="33" t="s">
        <v>3</v>
      </c>
      <c r="D6" s="34">
        <v>2021</v>
      </c>
      <c r="E6" s="34">
        <v>2027</v>
      </c>
      <c r="F6" s="34">
        <v>2035</v>
      </c>
      <c r="G6" s="35">
        <v>2050</v>
      </c>
      <c r="I6" s="36">
        <v>2021</v>
      </c>
      <c r="J6" s="34">
        <v>2027</v>
      </c>
      <c r="K6" s="34">
        <v>2035</v>
      </c>
      <c r="L6" s="35">
        <v>2050</v>
      </c>
      <c r="N6" s="36">
        <v>2021</v>
      </c>
      <c r="O6" s="34">
        <v>2027</v>
      </c>
      <c r="P6" s="34">
        <v>2035</v>
      </c>
      <c r="Q6" s="35">
        <v>2050</v>
      </c>
      <c r="S6" s="36">
        <v>2021</v>
      </c>
      <c r="T6" s="34">
        <v>2027</v>
      </c>
      <c r="U6" s="34">
        <v>2035</v>
      </c>
      <c r="V6" s="35">
        <v>2050</v>
      </c>
    </row>
    <row r="7" spans="2:22" ht="15" customHeight="1" thickTop="1" x14ac:dyDescent="0.2">
      <c r="B7" s="388" t="s">
        <v>4</v>
      </c>
      <c r="C7" s="37" t="s">
        <v>5</v>
      </c>
      <c r="D7" s="38">
        <v>1</v>
      </c>
      <c r="E7" s="38">
        <v>1</v>
      </c>
      <c r="F7" s="38">
        <v>1</v>
      </c>
      <c r="G7" s="39">
        <v>1</v>
      </c>
      <c r="I7" s="40">
        <v>4</v>
      </c>
      <c r="J7" s="41">
        <v>4</v>
      </c>
      <c r="K7" s="41">
        <v>4</v>
      </c>
      <c r="L7" s="42">
        <v>4</v>
      </c>
      <c r="N7" s="40">
        <v>2</v>
      </c>
      <c r="O7" s="41">
        <v>2</v>
      </c>
      <c r="P7" s="41">
        <v>2</v>
      </c>
      <c r="Q7" s="42">
        <v>2</v>
      </c>
      <c r="S7" s="40">
        <v>2</v>
      </c>
      <c r="T7" s="41">
        <v>2</v>
      </c>
      <c r="U7" s="41">
        <v>2</v>
      </c>
      <c r="V7" s="42">
        <v>2</v>
      </c>
    </row>
    <row r="8" spans="2:22" x14ac:dyDescent="0.2">
      <c r="B8" s="388"/>
      <c r="C8" s="43" t="s">
        <v>6</v>
      </c>
      <c r="D8" s="44">
        <v>0.66</v>
      </c>
      <c r="E8" s="44">
        <v>0.57999999999999996</v>
      </c>
      <c r="F8" s="44">
        <v>0.56000000000000005</v>
      </c>
      <c r="G8" s="45">
        <v>0.42</v>
      </c>
      <c r="I8" s="46">
        <v>0.66</v>
      </c>
      <c r="J8" s="44">
        <v>0.57999999999999996</v>
      </c>
      <c r="K8" s="44">
        <v>0.56000000000000005</v>
      </c>
      <c r="L8" s="45">
        <v>0.42</v>
      </c>
      <c r="N8" s="46">
        <v>0.66</v>
      </c>
      <c r="O8" s="44">
        <v>0.57999999999999996</v>
      </c>
      <c r="P8" s="44">
        <v>0.56000000000000005</v>
      </c>
      <c r="Q8" s="45">
        <v>0.42</v>
      </c>
      <c r="S8" s="46">
        <v>0.66</v>
      </c>
      <c r="T8" s="44">
        <v>0.57999999999999996</v>
      </c>
      <c r="U8" s="44">
        <v>0.56000000000000005</v>
      </c>
      <c r="V8" s="45">
        <v>0.42</v>
      </c>
    </row>
    <row r="9" spans="2:22" x14ac:dyDescent="0.2">
      <c r="B9" s="388"/>
      <c r="C9" s="29" t="s">
        <v>7</v>
      </c>
      <c r="D9" s="30">
        <v>10.4</v>
      </c>
      <c r="E9" s="30">
        <v>10.4</v>
      </c>
      <c r="F9" s="30">
        <v>10.4</v>
      </c>
      <c r="G9" s="31">
        <v>10.4</v>
      </c>
      <c r="I9" s="32">
        <v>10.4</v>
      </c>
      <c r="J9" s="30">
        <v>10.4</v>
      </c>
      <c r="K9" s="30">
        <v>10.4</v>
      </c>
      <c r="L9" s="31">
        <v>10.4</v>
      </c>
      <c r="N9" s="32">
        <v>10.4</v>
      </c>
      <c r="O9" s="30">
        <v>10.4</v>
      </c>
      <c r="P9" s="30">
        <v>10.4</v>
      </c>
      <c r="Q9" s="31">
        <v>10.4</v>
      </c>
      <c r="S9" s="32">
        <v>10.4</v>
      </c>
      <c r="T9" s="30">
        <v>10.4</v>
      </c>
      <c r="U9" s="30">
        <v>10.4</v>
      </c>
      <c r="V9" s="31">
        <v>10.4</v>
      </c>
    </row>
    <row r="10" spans="2:22" x14ac:dyDescent="0.2">
      <c r="B10" s="388"/>
      <c r="C10" s="43" t="s">
        <v>8</v>
      </c>
      <c r="D10" s="44">
        <v>9957</v>
      </c>
      <c r="E10" s="44">
        <v>9911</v>
      </c>
      <c r="F10" s="44">
        <v>9911</v>
      </c>
      <c r="G10" s="45">
        <v>9911</v>
      </c>
      <c r="I10" s="46">
        <v>9957</v>
      </c>
      <c r="J10" s="44">
        <v>9911</v>
      </c>
      <c r="K10" s="44">
        <v>9911</v>
      </c>
      <c r="L10" s="45">
        <v>9911</v>
      </c>
      <c r="N10" s="46">
        <v>9957</v>
      </c>
      <c r="O10" s="44">
        <v>9911</v>
      </c>
      <c r="P10" s="44">
        <v>9911</v>
      </c>
      <c r="Q10" s="45">
        <v>9911</v>
      </c>
      <c r="S10" s="46">
        <v>9957</v>
      </c>
      <c r="T10" s="44">
        <v>9911</v>
      </c>
      <c r="U10" s="44">
        <v>9911</v>
      </c>
      <c r="V10" s="45">
        <v>9911</v>
      </c>
    </row>
    <row r="11" spans="2:22" x14ac:dyDescent="0.2">
      <c r="B11" s="388"/>
      <c r="C11" s="29" t="s">
        <v>9</v>
      </c>
      <c r="D11" s="30">
        <v>0.53</v>
      </c>
      <c r="E11" s="30">
        <v>0.53</v>
      </c>
      <c r="F11" s="30">
        <v>0.53</v>
      </c>
      <c r="G11" s="31">
        <v>0.53</v>
      </c>
      <c r="I11" s="32">
        <v>0.53</v>
      </c>
      <c r="J11" s="30">
        <v>0.53</v>
      </c>
      <c r="K11" s="30">
        <v>0.53</v>
      </c>
      <c r="L11" s="31">
        <v>0.53</v>
      </c>
      <c r="N11" s="32">
        <v>0.53</v>
      </c>
      <c r="O11" s="30">
        <v>0.53</v>
      </c>
      <c r="P11" s="30">
        <v>0.53</v>
      </c>
      <c r="Q11" s="31">
        <v>0.53</v>
      </c>
      <c r="S11" s="32">
        <v>0.53</v>
      </c>
      <c r="T11" s="30">
        <v>0.53</v>
      </c>
      <c r="U11" s="30">
        <v>0.53</v>
      </c>
      <c r="V11" s="31">
        <v>0.53</v>
      </c>
    </row>
    <row r="12" spans="2:22" x14ac:dyDescent="0.2">
      <c r="B12" s="388"/>
      <c r="C12" s="29" t="s">
        <v>10</v>
      </c>
      <c r="D12" s="30">
        <v>0.59</v>
      </c>
      <c r="E12" s="30">
        <v>0.59</v>
      </c>
      <c r="F12" s="30">
        <v>0.59</v>
      </c>
      <c r="G12" s="31">
        <v>0.59</v>
      </c>
      <c r="I12" s="32">
        <v>0.59</v>
      </c>
      <c r="J12" s="30">
        <v>0.59</v>
      </c>
      <c r="K12" s="30">
        <v>0.59</v>
      </c>
      <c r="L12" s="31">
        <v>0.59</v>
      </c>
      <c r="N12" s="32">
        <v>0.59</v>
      </c>
      <c r="O12" s="30">
        <v>0.59</v>
      </c>
      <c r="P12" s="30">
        <v>0.59</v>
      </c>
      <c r="Q12" s="31">
        <v>0.59</v>
      </c>
      <c r="S12" s="32">
        <v>0.59</v>
      </c>
      <c r="T12" s="30">
        <v>0.59</v>
      </c>
      <c r="U12" s="30">
        <v>0.59</v>
      </c>
      <c r="V12" s="31">
        <v>0.59</v>
      </c>
    </row>
    <row r="13" spans="2:22" ht="14.5" customHeight="1" x14ac:dyDescent="0.2">
      <c r="B13" s="388"/>
      <c r="C13" s="29" t="s">
        <v>11</v>
      </c>
      <c r="D13" s="30">
        <v>5.44</v>
      </c>
      <c r="E13" s="30">
        <v>5.44</v>
      </c>
      <c r="F13" s="30">
        <v>5.44</v>
      </c>
      <c r="G13" s="31">
        <v>5.44</v>
      </c>
      <c r="I13" s="32">
        <v>5.44</v>
      </c>
      <c r="J13" s="30">
        <v>5.44</v>
      </c>
      <c r="K13" s="30">
        <v>5.44</v>
      </c>
      <c r="L13" s="31">
        <v>5.44</v>
      </c>
      <c r="N13" s="32">
        <v>5.44</v>
      </c>
      <c r="O13" s="30">
        <v>5.44</v>
      </c>
      <c r="P13" s="30">
        <v>5.44</v>
      </c>
      <c r="Q13" s="31">
        <v>5.44</v>
      </c>
      <c r="S13" s="32">
        <v>5.44</v>
      </c>
      <c r="T13" s="30">
        <v>5.44</v>
      </c>
      <c r="U13" s="30">
        <v>5.44</v>
      </c>
      <c r="V13" s="31">
        <v>5.44</v>
      </c>
    </row>
    <row r="14" spans="2:22" x14ac:dyDescent="0.2">
      <c r="B14" s="388"/>
      <c r="C14" s="43" t="s">
        <v>12</v>
      </c>
      <c r="D14" s="44">
        <v>6809</v>
      </c>
      <c r="E14" s="44">
        <v>6832</v>
      </c>
      <c r="F14" s="44">
        <v>6832</v>
      </c>
      <c r="G14" s="45">
        <v>6832</v>
      </c>
      <c r="I14" s="46">
        <v>6809</v>
      </c>
      <c r="J14" s="44">
        <v>6832</v>
      </c>
      <c r="K14" s="44">
        <v>6832</v>
      </c>
      <c r="L14" s="45">
        <v>6832</v>
      </c>
      <c r="N14" s="46">
        <v>6809</v>
      </c>
      <c r="O14" s="44">
        <v>6832</v>
      </c>
      <c r="P14" s="44">
        <v>6832</v>
      </c>
      <c r="Q14" s="45">
        <v>6832</v>
      </c>
      <c r="S14" s="46">
        <v>6809</v>
      </c>
      <c r="T14" s="44">
        <v>6832</v>
      </c>
      <c r="U14" s="44">
        <v>6832</v>
      </c>
      <c r="V14" s="45">
        <v>6832</v>
      </c>
    </row>
    <row r="15" spans="2:22" ht="15" thickBot="1" x14ac:dyDescent="0.25">
      <c r="B15" s="389"/>
      <c r="C15" s="33" t="s">
        <v>13</v>
      </c>
      <c r="D15" s="34"/>
      <c r="E15" s="34"/>
      <c r="F15" s="34"/>
      <c r="G15" s="35"/>
      <c r="I15" s="36"/>
      <c r="J15" s="34"/>
      <c r="K15" s="34"/>
      <c r="L15" s="35"/>
      <c r="N15" s="36"/>
      <c r="O15" s="34"/>
      <c r="P15" s="34"/>
      <c r="Q15" s="35"/>
      <c r="S15" s="36"/>
      <c r="T15" s="34"/>
      <c r="U15" s="34"/>
      <c r="V15" s="35"/>
    </row>
    <row r="16" spans="2:22" ht="15" customHeight="1" thickTop="1" x14ac:dyDescent="0.2">
      <c r="B16" s="396" t="s">
        <v>14</v>
      </c>
      <c r="C16" s="37" t="s">
        <v>15</v>
      </c>
      <c r="D16" s="38">
        <v>5000</v>
      </c>
      <c r="E16" s="38">
        <v>5000</v>
      </c>
      <c r="F16" s="38">
        <v>5000</v>
      </c>
      <c r="G16" s="39">
        <v>5000</v>
      </c>
      <c r="I16" s="47">
        <v>5000</v>
      </c>
      <c r="J16" s="48">
        <v>5000</v>
      </c>
      <c r="K16" s="48">
        <v>5000</v>
      </c>
      <c r="L16" s="49">
        <v>5000</v>
      </c>
      <c r="N16" s="50">
        <v>5000</v>
      </c>
      <c r="O16" s="51">
        <v>5000</v>
      </c>
      <c r="P16" s="51">
        <v>5000</v>
      </c>
      <c r="Q16" s="52">
        <v>5000</v>
      </c>
      <c r="S16" s="50">
        <v>5000</v>
      </c>
      <c r="T16" s="51">
        <v>5000</v>
      </c>
      <c r="U16" s="51">
        <v>5000</v>
      </c>
      <c r="V16" s="52">
        <v>5000</v>
      </c>
    </row>
    <row r="17" spans="2:22" x14ac:dyDescent="0.2">
      <c r="B17" s="388"/>
      <c r="C17" s="29" t="s">
        <v>16</v>
      </c>
      <c r="D17" s="30">
        <v>1</v>
      </c>
      <c r="E17" s="30">
        <v>1</v>
      </c>
      <c r="F17" s="30">
        <v>1</v>
      </c>
      <c r="G17" s="31">
        <v>1</v>
      </c>
      <c r="I17" s="53">
        <v>1</v>
      </c>
      <c r="J17" s="54">
        <v>1</v>
      </c>
      <c r="K17" s="54">
        <v>1</v>
      </c>
      <c r="L17" s="55">
        <v>1</v>
      </c>
      <c r="N17" s="56">
        <v>1</v>
      </c>
      <c r="O17" s="57">
        <v>1</v>
      </c>
      <c r="P17" s="57">
        <v>1</v>
      </c>
      <c r="Q17" s="58">
        <v>1</v>
      </c>
      <c r="S17" s="56">
        <v>1</v>
      </c>
      <c r="T17" s="57">
        <v>1</v>
      </c>
      <c r="U17" s="57">
        <v>1</v>
      </c>
      <c r="V17" s="58">
        <v>1</v>
      </c>
    </row>
    <row r="18" spans="2:22" x14ac:dyDescent="0.2">
      <c r="B18" s="388"/>
      <c r="C18" s="29" t="s">
        <v>17</v>
      </c>
      <c r="D18" s="30">
        <v>7590</v>
      </c>
      <c r="E18" s="30">
        <v>7590</v>
      </c>
      <c r="F18" s="30">
        <v>7590</v>
      </c>
      <c r="G18" s="31">
        <v>7590</v>
      </c>
      <c r="I18" s="53">
        <v>11385</v>
      </c>
      <c r="J18" s="54">
        <v>11385</v>
      </c>
      <c r="K18" s="54">
        <v>11385</v>
      </c>
      <c r="L18" s="55">
        <v>11385</v>
      </c>
      <c r="N18" s="56">
        <v>7590</v>
      </c>
      <c r="O18" s="57">
        <v>7590</v>
      </c>
      <c r="P18" s="57">
        <v>7590</v>
      </c>
      <c r="Q18" s="58">
        <v>7590</v>
      </c>
      <c r="S18" s="59">
        <v>1166.28</v>
      </c>
      <c r="T18" s="60">
        <v>1019.17</v>
      </c>
      <c r="U18" s="60">
        <v>1015.2</v>
      </c>
      <c r="V18" s="61">
        <v>679.47</v>
      </c>
    </row>
    <row r="19" spans="2:22" x14ac:dyDescent="0.2">
      <c r="B19" s="388"/>
      <c r="C19" s="29" t="s">
        <v>18</v>
      </c>
      <c r="D19" s="30">
        <v>12.67</v>
      </c>
      <c r="E19" s="30">
        <v>12.67</v>
      </c>
      <c r="F19" s="30">
        <v>12.67</v>
      </c>
      <c r="G19" s="31">
        <v>12.67</v>
      </c>
      <c r="I19" s="53">
        <v>12.67</v>
      </c>
      <c r="J19" s="54">
        <v>12.67</v>
      </c>
      <c r="K19" s="54">
        <v>12.67</v>
      </c>
      <c r="L19" s="55">
        <v>12.67</v>
      </c>
      <c r="N19" s="56">
        <v>12.67</v>
      </c>
      <c r="O19" s="57">
        <v>12.67</v>
      </c>
      <c r="P19" s="57">
        <v>12.67</v>
      </c>
      <c r="Q19" s="58">
        <v>12.67</v>
      </c>
      <c r="S19" s="59">
        <v>1.55</v>
      </c>
      <c r="T19" s="60">
        <v>1.7</v>
      </c>
      <c r="U19" s="60">
        <v>1.75</v>
      </c>
      <c r="V19" s="61">
        <v>2.2000000000000002</v>
      </c>
    </row>
    <row r="20" spans="2:22" x14ac:dyDescent="0.2">
      <c r="B20" s="388"/>
      <c r="C20" s="29" t="s">
        <v>19</v>
      </c>
      <c r="D20" s="30">
        <v>260</v>
      </c>
      <c r="E20" s="30">
        <v>260</v>
      </c>
      <c r="F20" s="30">
        <v>260</v>
      </c>
      <c r="G20" s="31">
        <v>260</v>
      </c>
      <c r="I20" s="62">
        <v>331</v>
      </c>
      <c r="J20" s="63">
        <v>331</v>
      </c>
      <c r="K20" s="63">
        <v>331</v>
      </c>
      <c r="L20" s="64">
        <v>331</v>
      </c>
      <c r="N20" s="59">
        <v>226.65</v>
      </c>
      <c r="O20" s="60">
        <v>217.48</v>
      </c>
      <c r="P20" s="60">
        <v>212.56</v>
      </c>
      <c r="Q20" s="61">
        <v>193.51</v>
      </c>
      <c r="S20" s="59">
        <v>245.71</v>
      </c>
      <c r="T20" s="60">
        <v>241.12</v>
      </c>
      <c r="U20" s="60">
        <v>237.1</v>
      </c>
      <c r="V20" s="61">
        <v>217.98</v>
      </c>
    </row>
    <row r="21" spans="2:22" x14ac:dyDescent="0.2">
      <c r="B21" s="388"/>
      <c r="C21" s="29" t="s">
        <v>20</v>
      </c>
      <c r="D21" s="30">
        <v>6</v>
      </c>
      <c r="E21" s="30">
        <v>6</v>
      </c>
      <c r="F21" s="30">
        <v>6</v>
      </c>
      <c r="G21" s="31">
        <v>6</v>
      </c>
      <c r="I21" s="53">
        <v>2</v>
      </c>
      <c r="J21" s="54">
        <v>2</v>
      </c>
      <c r="K21" s="54">
        <v>2</v>
      </c>
      <c r="L21" s="55">
        <v>2</v>
      </c>
      <c r="N21" s="56">
        <v>6</v>
      </c>
      <c r="O21" s="57">
        <v>6</v>
      </c>
      <c r="P21" s="57">
        <v>6</v>
      </c>
      <c r="Q21" s="58">
        <v>6</v>
      </c>
      <c r="S21" s="56">
        <v>4</v>
      </c>
      <c r="T21" s="57">
        <v>4</v>
      </c>
      <c r="U21" s="57">
        <v>4</v>
      </c>
      <c r="V21" s="58">
        <v>4</v>
      </c>
    </row>
    <row r="22" spans="2:22" x14ac:dyDescent="0.2">
      <c r="B22" s="388"/>
      <c r="C22" s="43" t="s">
        <v>22</v>
      </c>
      <c r="D22" s="65">
        <v>0.01</v>
      </c>
      <c r="E22" s="65">
        <v>4.3999999999999997E-2</v>
      </c>
      <c r="F22" s="65">
        <v>0.06</v>
      </c>
      <c r="G22" s="66">
        <v>0.1</v>
      </c>
      <c r="H22" s="67"/>
      <c r="I22" s="68">
        <v>0.02</v>
      </c>
      <c r="J22" s="69">
        <v>0.02</v>
      </c>
      <c r="K22" s="69">
        <v>0.02</v>
      </c>
      <c r="L22" s="70">
        <v>0.02</v>
      </c>
      <c r="N22" s="71">
        <v>0.01</v>
      </c>
      <c r="O22" s="72">
        <v>0.04</v>
      </c>
      <c r="P22" s="72">
        <v>0.06</v>
      </c>
      <c r="Q22" s="73">
        <v>0.1</v>
      </c>
      <c r="S22" s="71">
        <v>4.3999999999999997E-2</v>
      </c>
      <c r="T22" s="72">
        <v>0.06</v>
      </c>
      <c r="U22" s="72">
        <v>6.7500000000000004E-2</v>
      </c>
      <c r="V22" s="73">
        <v>0.12</v>
      </c>
    </row>
    <row r="23" spans="2:22" ht="15" customHeight="1" x14ac:dyDescent="0.2">
      <c r="B23" s="388"/>
      <c r="C23" s="29" t="s">
        <v>23</v>
      </c>
      <c r="D23" s="30">
        <v>6</v>
      </c>
      <c r="E23" s="30">
        <v>6</v>
      </c>
      <c r="F23" s="30">
        <v>6</v>
      </c>
      <c r="G23" s="31">
        <v>6</v>
      </c>
      <c r="I23" s="53">
        <v>6</v>
      </c>
      <c r="J23" s="54">
        <v>6</v>
      </c>
      <c r="K23" s="54">
        <v>6</v>
      </c>
      <c r="L23" s="55">
        <v>6</v>
      </c>
      <c r="N23" s="56">
        <v>6</v>
      </c>
      <c r="O23" s="57">
        <v>6</v>
      </c>
      <c r="P23" s="57">
        <v>6</v>
      </c>
      <c r="Q23" s="58">
        <v>6</v>
      </c>
      <c r="S23" s="56">
        <v>5</v>
      </c>
      <c r="T23" s="57">
        <v>5</v>
      </c>
      <c r="U23" s="57">
        <v>5</v>
      </c>
      <c r="V23" s="58">
        <v>5</v>
      </c>
    </row>
    <row r="24" spans="2:22" x14ac:dyDescent="0.2">
      <c r="B24" s="388"/>
      <c r="C24" s="29" t="s">
        <v>24</v>
      </c>
      <c r="D24" s="30">
        <v>0</v>
      </c>
      <c r="E24" s="30">
        <v>0</v>
      </c>
      <c r="F24" s="30">
        <v>0</v>
      </c>
      <c r="G24" s="31">
        <v>0</v>
      </c>
      <c r="I24" s="53">
        <v>0</v>
      </c>
      <c r="J24" s="54">
        <v>0</v>
      </c>
      <c r="K24" s="54">
        <v>0</v>
      </c>
      <c r="L24" s="55">
        <v>0</v>
      </c>
      <c r="N24" s="56">
        <v>0</v>
      </c>
      <c r="O24" s="57">
        <v>0</v>
      </c>
      <c r="P24" s="57">
        <v>0</v>
      </c>
      <c r="Q24" s="58">
        <v>0</v>
      </c>
      <c r="S24" s="56">
        <v>0</v>
      </c>
      <c r="T24" s="57">
        <v>0</v>
      </c>
      <c r="U24" s="57">
        <v>0</v>
      </c>
      <c r="V24" s="58">
        <v>0</v>
      </c>
    </row>
    <row r="25" spans="2:22" ht="15" thickBot="1" x14ac:dyDescent="0.25">
      <c r="B25" s="389"/>
      <c r="C25" s="33" t="s">
        <v>25</v>
      </c>
      <c r="D25" s="34">
        <v>0.26</v>
      </c>
      <c r="E25" s="34">
        <v>0.26</v>
      </c>
      <c r="F25" s="34">
        <v>0.26</v>
      </c>
      <c r="G25" s="35">
        <v>0.26</v>
      </c>
      <c r="I25" s="74">
        <v>0.26</v>
      </c>
      <c r="J25" s="75">
        <v>0.26</v>
      </c>
      <c r="K25" s="75">
        <v>0.26</v>
      </c>
      <c r="L25" s="76">
        <v>0.26</v>
      </c>
      <c r="N25" s="77">
        <v>0.26</v>
      </c>
      <c r="O25" s="78">
        <v>0.26</v>
      </c>
      <c r="P25" s="78">
        <v>0.26</v>
      </c>
      <c r="Q25" s="79">
        <v>0.26</v>
      </c>
      <c r="S25" s="77">
        <v>1.02</v>
      </c>
      <c r="T25" s="78">
        <v>1.02</v>
      </c>
      <c r="U25" s="78">
        <v>1.02</v>
      </c>
      <c r="V25" s="79">
        <v>1.02</v>
      </c>
    </row>
    <row r="26" spans="2:22" ht="15" customHeight="1" thickTop="1" x14ac:dyDescent="0.2">
      <c r="B26" s="390" t="s">
        <v>56</v>
      </c>
      <c r="C26" s="80" t="s">
        <v>57</v>
      </c>
      <c r="D26" s="81">
        <v>0</v>
      </c>
      <c r="E26" s="81">
        <v>0</v>
      </c>
      <c r="F26" s="81">
        <v>0</v>
      </c>
      <c r="G26" s="82">
        <v>0</v>
      </c>
      <c r="H26" s="83"/>
      <c r="I26" s="84">
        <v>282.66000000000003</v>
      </c>
      <c r="J26" s="85">
        <v>264.61</v>
      </c>
      <c r="K26" s="85">
        <v>255.67</v>
      </c>
      <c r="L26" s="86">
        <v>229.39</v>
      </c>
      <c r="N26" s="84">
        <v>70.94</v>
      </c>
      <c r="O26" s="85">
        <v>75.7</v>
      </c>
      <c r="P26" s="85">
        <v>84.48</v>
      </c>
      <c r="Q26" s="86">
        <v>80.2</v>
      </c>
      <c r="S26" s="59">
        <v>245.71</v>
      </c>
      <c r="T26" s="60">
        <v>241.12</v>
      </c>
      <c r="U26" s="60">
        <v>237.1</v>
      </c>
      <c r="V26" s="61">
        <v>217.98</v>
      </c>
    </row>
    <row r="27" spans="2:22" x14ac:dyDescent="0.2">
      <c r="B27" s="391"/>
      <c r="C27" s="87" t="s">
        <v>58</v>
      </c>
      <c r="D27" s="88">
        <v>0.95</v>
      </c>
      <c r="E27" s="88">
        <v>0.95</v>
      </c>
      <c r="F27" s="88">
        <v>0.95</v>
      </c>
      <c r="G27" s="89">
        <v>0.95</v>
      </c>
      <c r="H27" s="90"/>
      <c r="I27" s="71">
        <v>0.93</v>
      </c>
      <c r="J27" s="72">
        <v>0.94</v>
      </c>
      <c r="K27" s="72">
        <v>0.96</v>
      </c>
      <c r="L27" s="73">
        <v>0.98</v>
      </c>
      <c r="N27" s="71">
        <v>0.93</v>
      </c>
      <c r="O27" s="72">
        <v>0.94</v>
      </c>
      <c r="P27" s="72">
        <v>0.96</v>
      </c>
      <c r="Q27" s="73">
        <v>0.98</v>
      </c>
      <c r="S27" s="71">
        <v>0.93</v>
      </c>
      <c r="T27" s="72">
        <v>0.94</v>
      </c>
      <c r="U27" s="72">
        <v>0.96</v>
      </c>
      <c r="V27" s="73">
        <v>0.98</v>
      </c>
    </row>
    <row r="28" spans="2:22" ht="14.5" customHeight="1" x14ac:dyDescent="0.2">
      <c r="B28" s="391"/>
      <c r="C28" s="87" t="s">
        <v>59</v>
      </c>
      <c r="D28" s="63">
        <v>4</v>
      </c>
      <c r="E28" s="63">
        <v>4</v>
      </c>
      <c r="F28" s="63">
        <v>4</v>
      </c>
      <c r="G28" s="64">
        <v>4</v>
      </c>
      <c r="H28" s="83"/>
      <c r="I28" s="56">
        <v>4</v>
      </c>
      <c r="J28" s="57">
        <v>4</v>
      </c>
      <c r="K28" s="57">
        <v>4</v>
      </c>
      <c r="L28" s="58">
        <v>4</v>
      </c>
      <c r="N28" s="56">
        <v>4</v>
      </c>
      <c r="O28" s="57">
        <v>4</v>
      </c>
      <c r="P28" s="57">
        <v>4</v>
      </c>
      <c r="Q28" s="58">
        <v>4</v>
      </c>
      <c r="S28" s="56">
        <v>4</v>
      </c>
      <c r="T28" s="57">
        <v>4</v>
      </c>
      <c r="U28" s="57">
        <v>4</v>
      </c>
      <c r="V28" s="58">
        <v>4</v>
      </c>
    </row>
    <row r="29" spans="2:22" x14ac:dyDescent="0.2">
      <c r="B29" s="391"/>
      <c r="C29" s="87" t="s">
        <v>60</v>
      </c>
      <c r="D29" s="63">
        <v>0.83299999999999996</v>
      </c>
      <c r="E29" s="63">
        <v>0.83299999999999996</v>
      </c>
      <c r="F29" s="63">
        <v>0.83299999999999996</v>
      </c>
      <c r="G29" s="64">
        <v>0.83299999999999996</v>
      </c>
      <c r="H29" s="83"/>
      <c r="I29" s="59">
        <v>0.28999999999999998</v>
      </c>
      <c r="J29" s="60">
        <v>0.23</v>
      </c>
      <c r="K29" s="60">
        <v>0.18</v>
      </c>
      <c r="L29" s="61">
        <v>0.08</v>
      </c>
      <c r="N29" s="59">
        <v>0.28999999999999998</v>
      </c>
      <c r="O29" s="60">
        <v>0.23</v>
      </c>
      <c r="P29" s="60">
        <v>0.18</v>
      </c>
      <c r="Q29" s="61">
        <v>0.08</v>
      </c>
      <c r="S29" s="59">
        <v>0.28999999999999998</v>
      </c>
      <c r="T29" s="60">
        <v>0.23</v>
      </c>
      <c r="U29" s="60">
        <v>0.18</v>
      </c>
      <c r="V29" s="61">
        <v>0.08</v>
      </c>
    </row>
    <row r="30" spans="2:22" ht="15" thickBot="1" x14ac:dyDescent="0.25">
      <c r="B30" s="392"/>
      <c r="C30" s="91" t="s">
        <v>61</v>
      </c>
      <c r="D30" s="92">
        <v>21.6</v>
      </c>
      <c r="E30" s="92">
        <v>21.6</v>
      </c>
      <c r="F30" s="92">
        <v>21.6</v>
      </c>
      <c r="G30" s="93">
        <v>21.6</v>
      </c>
      <c r="H30" s="83"/>
      <c r="I30" s="77">
        <v>21.6</v>
      </c>
      <c r="J30" s="78">
        <v>21.6</v>
      </c>
      <c r="K30" s="78">
        <v>21.6</v>
      </c>
      <c r="L30" s="79">
        <v>21.6</v>
      </c>
      <c r="N30" s="77">
        <v>21.6</v>
      </c>
      <c r="O30" s="78">
        <v>21.6</v>
      </c>
      <c r="P30" s="78">
        <v>21.6</v>
      </c>
      <c r="Q30" s="79">
        <v>21.6</v>
      </c>
      <c r="S30" s="77">
        <v>21.6</v>
      </c>
      <c r="T30" s="78">
        <v>21.6</v>
      </c>
      <c r="U30" s="78">
        <v>21.6</v>
      </c>
      <c r="V30" s="79">
        <v>21.6</v>
      </c>
    </row>
    <row r="31" spans="2:22" ht="15" customHeight="1" thickTop="1" x14ac:dyDescent="0.2">
      <c r="B31" s="390" t="s">
        <v>62</v>
      </c>
      <c r="C31" s="80" t="s">
        <v>63</v>
      </c>
      <c r="D31" s="81">
        <v>0</v>
      </c>
      <c r="E31" s="81">
        <v>0</v>
      </c>
      <c r="F31" s="81">
        <v>0</v>
      </c>
      <c r="G31" s="82">
        <v>0</v>
      </c>
      <c r="H31" s="83"/>
      <c r="I31" s="84">
        <v>303.94</v>
      </c>
      <c r="J31" s="85">
        <v>281.5</v>
      </c>
      <c r="K31" s="85">
        <v>266.32</v>
      </c>
      <c r="L31" s="86">
        <v>234.07</v>
      </c>
      <c r="N31" s="84">
        <v>76.28</v>
      </c>
      <c r="O31" s="85">
        <v>80.53</v>
      </c>
      <c r="P31" s="85">
        <v>87.99</v>
      </c>
      <c r="Q31" s="86">
        <v>81.83</v>
      </c>
      <c r="S31" s="84">
        <v>270.27999999999997</v>
      </c>
      <c r="T31" s="85">
        <v>265.23</v>
      </c>
      <c r="U31" s="85">
        <v>260.82</v>
      </c>
      <c r="V31" s="86">
        <v>239.77</v>
      </c>
    </row>
    <row r="32" spans="2:22" x14ac:dyDescent="0.2">
      <c r="B32" s="391"/>
      <c r="C32" s="87" t="s">
        <v>64</v>
      </c>
      <c r="D32" s="63">
        <v>0</v>
      </c>
      <c r="E32" s="63">
        <v>0</v>
      </c>
      <c r="F32" s="63">
        <v>0</v>
      </c>
      <c r="G32" s="64">
        <v>0</v>
      </c>
      <c r="H32" s="90"/>
      <c r="I32" s="59">
        <v>704.85</v>
      </c>
      <c r="J32" s="60">
        <v>598.14</v>
      </c>
      <c r="K32" s="60">
        <v>535.37</v>
      </c>
      <c r="L32" s="61">
        <v>356.8</v>
      </c>
      <c r="N32" s="59">
        <v>7.6</v>
      </c>
      <c r="O32" s="60">
        <v>8.6</v>
      </c>
      <c r="P32" s="60">
        <v>10.6</v>
      </c>
      <c r="Q32" s="61">
        <v>9.6</v>
      </c>
      <c r="S32" s="56">
        <v>20</v>
      </c>
      <c r="T32" s="57">
        <v>20</v>
      </c>
      <c r="U32" s="57">
        <v>20</v>
      </c>
      <c r="V32" s="58">
        <v>20</v>
      </c>
    </row>
    <row r="33" spans="2:22" x14ac:dyDescent="0.2">
      <c r="B33" s="391"/>
      <c r="C33" s="87" t="s">
        <v>65</v>
      </c>
      <c r="D33" s="63">
        <v>8</v>
      </c>
      <c r="E33" s="63">
        <v>8</v>
      </c>
      <c r="F33" s="63">
        <v>8</v>
      </c>
      <c r="G33" s="64">
        <v>8</v>
      </c>
      <c r="H33" s="83"/>
      <c r="I33" s="59">
        <v>4.34</v>
      </c>
      <c r="J33" s="60">
        <v>3.87</v>
      </c>
      <c r="K33" s="60">
        <v>3.35</v>
      </c>
      <c r="L33" s="61">
        <v>2.5</v>
      </c>
      <c r="N33" s="59">
        <v>4.34</v>
      </c>
      <c r="O33" s="60">
        <v>3.87</v>
      </c>
      <c r="P33" s="60">
        <v>3.35</v>
      </c>
      <c r="Q33" s="61">
        <v>2.5</v>
      </c>
      <c r="S33" s="59">
        <v>4.34</v>
      </c>
      <c r="T33" s="60">
        <v>3.87</v>
      </c>
      <c r="U33" s="60">
        <v>3.35</v>
      </c>
      <c r="V33" s="61">
        <v>2.5</v>
      </c>
    </row>
    <row r="34" spans="2:22" x14ac:dyDescent="0.2">
      <c r="B34" s="391"/>
      <c r="C34" s="87" t="s">
        <v>66</v>
      </c>
      <c r="D34" s="63">
        <v>75</v>
      </c>
      <c r="E34" s="63">
        <v>75</v>
      </c>
      <c r="F34" s="63">
        <v>75</v>
      </c>
      <c r="G34" s="64">
        <v>75</v>
      </c>
      <c r="H34" s="83"/>
      <c r="I34" s="56">
        <v>75</v>
      </c>
      <c r="J34" s="57">
        <v>75</v>
      </c>
      <c r="K34" s="57">
        <v>75</v>
      </c>
      <c r="L34" s="58">
        <v>75</v>
      </c>
      <c r="N34" s="56">
        <v>75</v>
      </c>
      <c r="O34" s="57">
        <v>75</v>
      </c>
      <c r="P34" s="57">
        <v>75</v>
      </c>
      <c r="Q34" s="58">
        <v>75</v>
      </c>
      <c r="S34" s="56">
        <v>75</v>
      </c>
      <c r="T34" s="57">
        <v>75</v>
      </c>
      <c r="U34" s="57">
        <v>75</v>
      </c>
      <c r="V34" s="58">
        <v>75</v>
      </c>
    </row>
    <row r="35" spans="2:22" x14ac:dyDescent="0.2">
      <c r="B35" s="391"/>
      <c r="C35" s="87" t="s">
        <v>67</v>
      </c>
      <c r="D35" s="94">
        <v>0.97</v>
      </c>
      <c r="E35" s="94">
        <v>0.97</v>
      </c>
      <c r="F35" s="94">
        <v>0.97</v>
      </c>
      <c r="G35" s="95">
        <v>0.97</v>
      </c>
      <c r="H35" s="96"/>
      <c r="I35" s="97">
        <v>0.97</v>
      </c>
      <c r="J35" s="98">
        <v>0.97</v>
      </c>
      <c r="K35" s="98">
        <v>0.97</v>
      </c>
      <c r="L35" s="99">
        <v>0.97</v>
      </c>
      <c r="N35" s="97">
        <v>0.97</v>
      </c>
      <c r="O35" s="98">
        <v>0.97</v>
      </c>
      <c r="P35" s="98">
        <v>0.97</v>
      </c>
      <c r="Q35" s="99">
        <v>0.97</v>
      </c>
      <c r="S35" s="97">
        <v>0.97</v>
      </c>
      <c r="T35" s="98">
        <v>0.97</v>
      </c>
      <c r="U35" s="98">
        <v>0.97</v>
      </c>
      <c r="V35" s="99">
        <v>0.97</v>
      </c>
    </row>
    <row r="36" spans="2:22" x14ac:dyDescent="0.2">
      <c r="B36" s="391"/>
      <c r="C36" s="87" t="s">
        <v>68</v>
      </c>
      <c r="D36" s="63">
        <v>110</v>
      </c>
      <c r="E36" s="63">
        <v>110</v>
      </c>
      <c r="F36" s="63">
        <v>110</v>
      </c>
      <c r="G36" s="64">
        <v>110</v>
      </c>
      <c r="H36" s="83"/>
      <c r="I36" s="56">
        <v>130</v>
      </c>
      <c r="J36" s="57">
        <v>130</v>
      </c>
      <c r="K36" s="57">
        <v>130</v>
      </c>
      <c r="L36" s="58">
        <v>130</v>
      </c>
      <c r="N36" s="56">
        <v>130</v>
      </c>
      <c r="O36" s="57">
        <v>130</v>
      </c>
      <c r="P36" s="57">
        <v>130</v>
      </c>
      <c r="Q36" s="58">
        <v>130</v>
      </c>
      <c r="S36" s="56">
        <v>130</v>
      </c>
      <c r="T36" s="57">
        <v>130</v>
      </c>
      <c r="U36" s="57">
        <v>130</v>
      </c>
      <c r="V36" s="58">
        <v>130</v>
      </c>
    </row>
    <row r="37" spans="2:22" ht="15" thickBot="1" x14ac:dyDescent="0.25">
      <c r="B37" s="392"/>
      <c r="C37" s="91" t="s">
        <v>69</v>
      </c>
      <c r="D37" s="92">
        <v>-0.68110000000000004</v>
      </c>
      <c r="E37" s="92">
        <v>-0.68110000000000004</v>
      </c>
      <c r="F37" s="92">
        <v>-0.68110000000000004</v>
      </c>
      <c r="G37" s="93">
        <v>-0.68110000000000004</v>
      </c>
      <c r="H37" s="83"/>
      <c r="I37" s="77">
        <v>-0.68110000000000004</v>
      </c>
      <c r="J37" s="78">
        <v>-0.68110000000000004</v>
      </c>
      <c r="K37" s="78">
        <v>-0.68110000000000004</v>
      </c>
      <c r="L37" s="79">
        <v>-0.68110000000000004</v>
      </c>
      <c r="N37" s="77">
        <v>-0.68110000000000004</v>
      </c>
      <c r="O37" s="78">
        <v>-0.68110000000000004</v>
      </c>
      <c r="P37" s="78">
        <v>-0.68110000000000004</v>
      </c>
      <c r="Q37" s="79">
        <v>-0.68110000000000004</v>
      </c>
      <c r="S37" s="77">
        <v>-0.68110000000000004</v>
      </c>
      <c r="T37" s="78">
        <v>-0.68110000000000004</v>
      </c>
      <c r="U37" s="78">
        <v>-0.68110000000000004</v>
      </c>
      <c r="V37" s="79">
        <v>-0.68110000000000004</v>
      </c>
    </row>
    <row r="38" spans="2:22" ht="15" customHeight="1" thickTop="1" x14ac:dyDescent="0.2">
      <c r="B38" s="387" t="s">
        <v>26</v>
      </c>
      <c r="C38" s="100" t="s">
        <v>27</v>
      </c>
      <c r="D38" s="41">
        <v>10</v>
      </c>
      <c r="E38" s="41">
        <v>10</v>
      </c>
      <c r="F38" s="41">
        <v>10</v>
      </c>
      <c r="G38" s="42">
        <v>10</v>
      </c>
      <c r="I38" s="40">
        <v>10</v>
      </c>
      <c r="J38" s="41">
        <v>10</v>
      </c>
      <c r="K38" s="41">
        <v>10</v>
      </c>
      <c r="L38" s="42">
        <v>10</v>
      </c>
      <c r="N38" s="40">
        <v>10</v>
      </c>
      <c r="O38" s="41">
        <v>10</v>
      </c>
      <c r="P38" s="41">
        <v>10</v>
      </c>
      <c r="Q38" s="42">
        <v>10</v>
      </c>
      <c r="S38" s="40">
        <v>10</v>
      </c>
      <c r="T38" s="41">
        <v>10</v>
      </c>
      <c r="U38" s="41">
        <v>10</v>
      </c>
      <c r="V38" s="42">
        <v>10</v>
      </c>
    </row>
    <row r="39" spans="2:22" x14ac:dyDescent="0.2">
      <c r="B39" s="388"/>
      <c r="C39" s="29" t="s">
        <v>28</v>
      </c>
      <c r="D39" s="30">
        <v>6</v>
      </c>
      <c r="E39" s="30">
        <v>6</v>
      </c>
      <c r="F39" s="30">
        <v>6</v>
      </c>
      <c r="G39" s="31">
        <v>6</v>
      </c>
      <c r="I39" s="32">
        <v>6</v>
      </c>
      <c r="J39" s="30">
        <v>6</v>
      </c>
      <c r="K39" s="30">
        <v>6</v>
      </c>
      <c r="L39" s="31">
        <v>6</v>
      </c>
      <c r="N39" s="32">
        <v>6</v>
      </c>
      <c r="O39" s="30">
        <v>6</v>
      </c>
      <c r="P39" s="30">
        <v>6</v>
      </c>
      <c r="Q39" s="31">
        <v>6</v>
      </c>
      <c r="S39" s="32">
        <v>6</v>
      </c>
      <c r="T39" s="30">
        <v>6</v>
      </c>
      <c r="U39" s="30">
        <v>6</v>
      </c>
      <c r="V39" s="31">
        <v>6</v>
      </c>
    </row>
    <row r="40" spans="2:22" x14ac:dyDescent="0.2">
      <c r="B40" s="388"/>
      <c r="C40" s="43" t="s">
        <v>29</v>
      </c>
      <c r="D40" s="44">
        <v>7.0000000000000001E-3</v>
      </c>
      <c r="E40" s="44">
        <v>6.7000000000000002E-3</v>
      </c>
      <c r="F40" s="44">
        <v>6.4000000000000003E-3</v>
      </c>
      <c r="G40" s="45">
        <v>4.5999999999999999E-3</v>
      </c>
      <c r="I40" s="46">
        <v>7.0000000000000001E-3</v>
      </c>
      <c r="J40" s="44">
        <v>6.7000000000000002E-3</v>
      </c>
      <c r="K40" s="44">
        <v>6.4000000000000003E-3</v>
      </c>
      <c r="L40" s="45">
        <v>4.5999999999999999E-3</v>
      </c>
      <c r="N40" s="46">
        <v>7.0000000000000001E-3</v>
      </c>
      <c r="O40" s="44">
        <v>6.7000000000000002E-3</v>
      </c>
      <c r="P40" s="44">
        <v>6.4000000000000003E-3</v>
      </c>
      <c r="Q40" s="45">
        <v>4.5999999999999999E-3</v>
      </c>
      <c r="S40" s="46">
        <v>7.0000000000000001E-3</v>
      </c>
      <c r="T40" s="44">
        <v>6.7000000000000002E-3</v>
      </c>
      <c r="U40" s="44">
        <v>6.4000000000000003E-3</v>
      </c>
      <c r="V40" s="45">
        <v>4.5999999999999999E-3</v>
      </c>
    </row>
    <row r="41" spans="2:22" x14ac:dyDescent="0.2">
      <c r="B41" s="388"/>
      <c r="C41" s="29" t="s">
        <v>30</v>
      </c>
      <c r="D41" s="30">
        <v>0.505</v>
      </c>
      <c r="E41" s="30">
        <v>0.505</v>
      </c>
      <c r="F41" s="30">
        <v>0.505</v>
      </c>
      <c r="G41" s="31">
        <v>0.505</v>
      </c>
      <c r="I41" s="32">
        <v>0.505</v>
      </c>
      <c r="J41" s="30">
        <v>0.505</v>
      </c>
      <c r="K41" s="30">
        <v>0.505</v>
      </c>
      <c r="L41" s="31">
        <v>0.505</v>
      </c>
      <c r="N41" s="32">
        <v>0.505</v>
      </c>
      <c r="O41" s="30">
        <v>0.505</v>
      </c>
      <c r="P41" s="30">
        <v>0.505</v>
      </c>
      <c r="Q41" s="31">
        <v>0.505</v>
      </c>
      <c r="S41" s="32">
        <v>0.505</v>
      </c>
      <c r="T41" s="30">
        <v>0.505</v>
      </c>
      <c r="U41" s="30">
        <v>0.505</v>
      </c>
      <c r="V41" s="31">
        <v>0.505</v>
      </c>
    </row>
    <row r="42" spans="2:22" ht="15" thickBot="1" x14ac:dyDescent="0.25">
      <c r="B42" s="389"/>
      <c r="C42" s="33" t="s">
        <v>31</v>
      </c>
      <c r="D42" s="34">
        <v>0.7</v>
      </c>
      <c r="E42" s="34">
        <v>0.7</v>
      </c>
      <c r="F42" s="34">
        <v>0.7</v>
      </c>
      <c r="G42" s="35">
        <v>0.7</v>
      </c>
      <c r="I42" s="36">
        <v>0.7</v>
      </c>
      <c r="J42" s="34">
        <v>0.7</v>
      </c>
      <c r="K42" s="34">
        <v>0.7</v>
      </c>
      <c r="L42" s="35">
        <v>0.7</v>
      </c>
      <c r="N42" s="36">
        <v>0.7</v>
      </c>
      <c r="O42" s="34">
        <v>0.7</v>
      </c>
      <c r="P42" s="34">
        <v>0.7</v>
      </c>
      <c r="Q42" s="35">
        <v>0.7</v>
      </c>
      <c r="S42" s="36">
        <v>0.7</v>
      </c>
      <c r="T42" s="34">
        <v>0.7</v>
      </c>
      <c r="U42" s="34">
        <v>0.7</v>
      </c>
      <c r="V42" s="35">
        <v>0.7</v>
      </c>
    </row>
    <row r="43" spans="2:22" ht="15" customHeight="1" thickTop="1" x14ac:dyDescent="0.2">
      <c r="B43" s="390" t="s">
        <v>70</v>
      </c>
      <c r="C43" s="80" t="s">
        <v>71</v>
      </c>
      <c r="D43" s="101">
        <v>0.1</v>
      </c>
      <c r="E43" s="101">
        <v>0.1</v>
      </c>
      <c r="F43" s="101">
        <v>0.1</v>
      </c>
      <c r="G43" s="102">
        <v>0.1</v>
      </c>
      <c r="H43" s="90"/>
      <c r="I43" s="103">
        <v>0.05</v>
      </c>
      <c r="J43" s="104">
        <v>0.05</v>
      </c>
      <c r="K43" s="104">
        <v>0.05</v>
      </c>
      <c r="L43" s="105">
        <v>0.05</v>
      </c>
      <c r="N43" s="103">
        <v>0.4</v>
      </c>
      <c r="O43" s="104">
        <v>0.4</v>
      </c>
      <c r="P43" s="104">
        <v>0.4</v>
      </c>
      <c r="Q43" s="105">
        <v>0.4</v>
      </c>
      <c r="S43" s="103">
        <v>0.4</v>
      </c>
      <c r="T43" s="104">
        <v>0.4</v>
      </c>
      <c r="U43" s="104">
        <v>0.4</v>
      </c>
      <c r="V43" s="105">
        <v>0.4</v>
      </c>
    </row>
    <row r="44" spans="2:22" x14ac:dyDescent="0.2">
      <c r="B44" s="391"/>
      <c r="C44" s="87" t="s">
        <v>72</v>
      </c>
      <c r="D44" s="88">
        <v>0.95</v>
      </c>
      <c r="E44" s="88">
        <v>0.95</v>
      </c>
      <c r="F44" s="88">
        <v>0.95</v>
      </c>
      <c r="G44" s="89">
        <v>0.95</v>
      </c>
      <c r="H44" s="90"/>
      <c r="I44" s="71">
        <v>0.81</v>
      </c>
      <c r="J44" s="72">
        <v>0.85</v>
      </c>
      <c r="K44" s="72">
        <v>0.89</v>
      </c>
      <c r="L44" s="73">
        <v>1</v>
      </c>
      <c r="N44" s="106">
        <v>0.8</v>
      </c>
      <c r="O44" s="107">
        <v>0.8</v>
      </c>
      <c r="P44" s="107">
        <v>0.8</v>
      </c>
      <c r="Q44" s="108">
        <v>0.8</v>
      </c>
      <c r="S44" s="106">
        <v>0.8</v>
      </c>
      <c r="T44" s="107">
        <v>0.8</v>
      </c>
      <c r="U44" s="107">
        <v>0.8</v>
      </c>
      <c r="V44" s="108">
        <v>0.8</v>
      </c>
    </row>
    <row r="45" spans="2:22" x14ac:dyDescent="0.2">
      <c r="B45" s="391"/>
      <c r="C45" s="87" t="s">
        <v>73</v>
      </c>
      <c r="D45" s="88">
        <v>0</v>
      </c>
      <c r="E45" s="88">
        <v>0</v>
      </c>
      <c r="F45" s="88">
        <v>0</v>
      </c>
      <c r="G45" s="89">
        <v>0</v>
      </c>
      <c r="H45" s="90"/>
      <c r="I45" s="106">
        <v>0</v>
      </c>
      <c r="J45" s="107">
        <v>0</v>
      </c>
      <c r="K45" s="107">
        <v>0</v>
      </c>
      <c r="L45" s="108">
        <v>0</v>
      </c>
      <c r="N45" s="106">
        <v>0</v>
      </c>
      <c r="O45" s="107">
        <v>0</v>
      </c>
      <c r="P45" s="107">
        <v>0</v>
      </c>
      <c r="Q45" s="108">
        <v>0</v>
      </c>
      <c r="S45" s="106">
        <v>0</v>
      </c>
      <c r="T45" s="107">
        <v>0</v>
      </c>
      <c r="U45" s="107">
        <v>0</v>
      </c>
      <c r="V45" s="108">
        <v>0</v>
      </c>
    </row>
    <row r="46" spans="2:22" x14ac:dyDescent="0.2">
      <c r="B46" s="391"/>
      <c r="C46" s="87" t="s">
        <v>74</v>
      </c>
      <c r="D46" s="88">
        <v>0</v>
      </c>
      <c r="E46" s="88">
        <v>0</v>
      </c>
      <c r="F46" s="88">
        <v>0</v>
      </c>
      <c r="G46" s="89">
        <v>0</v>
      </c>
      <c r="H46" s="90"/>
      <c r="I46" s="106">
        <v>0</v>
      </c>
      <c r="J46" s="107">
        <v>0</v>
      </c>
      <c r="K46" s="107">
        <v>0</v>
      </c>
      <c r="L46" s="108">
        <v>0</v>
      </c>
      <c r="N46" s="106">
        <v>0</v>
      </c>
      <c r="O46" s="107">
        <v>0</v>
      </c>
      <c r="P46" s="107">
        <v>0</v>
      </c>
      <c r="Q46" s="108">
        <v>0</v>
      </c>
      <c r="S46" s="106">
        <v>0</v>
      </c>
      <c r="T46" s="107">
        <v>0</v>
      </c>
      <c r="U46" s="107">
        <v>0</v>
      </c>
      <c r="V46" s="108">
        <v>0</v>
      </c>
    </row>
    <row r="47" spans="2:22" x14ac:dyDescent="0.2">
      <c r="B47" s="391"/>
      <c r="C47" s="87" t="s">
        <v>75</v>
      </c>
      <c r="D47" s="63">
        <v>60</v>
      </c>
      <c r="E47" s="63">
        <v>60</v>
      </c>
      <c r="F47" s="63">
        <v>60</v>
      </c>
      <c r="G47" s="64">
        <v>60</v>
      </c>
      <c r="H47" s="83"/>
      <c r="I47" s="56">
        <v>60</v>
      </c>
      <c r="J47" s="57">
        <v>60</v>
      </c>
      <c r="K47" s="57">
        <v>60</v>
      </c>
      <c r="L47" s="58">
        <v>60</v>
      </c>
      <c r="N47" s="56">
        <v>60</v>
      </c>
      <c r="O47" s="57">
        <v>60</v>
      </c>
      <c r="P47" s="57">
        <v>60</v>
      </c>
      <c r="Q47" s="58">
        <v>60</v>
      </c>
      <c r="S47" s="56">
        <v>60</v>
      </c>
      <c r="T47" s="57">
        <v>60</v>
      </c>
      <c r="U47" s="57">
        <v>60</v>
      </c>
      <c r="V47" s="58">
        <v>60</v>
      </c>
    </row>
    <row r="48" spans="2:22" x14ac:dyDescent="0.2">
      <c r="B48" s="391"/>
      <c r="C48" s="87" t="s">
        <v>76</v>
      </c>
      <c r="D48" s="63">
        <v>0.2</v>
      </c>
      <c r="E48" s="63">
        <v>0.2</v>
      </c>
      <c r="F48" s="63">
        <v>0.2</v>
      </c>
      <c r="G48" s="64">
        <v>0.2</v>
      </c>
      <c r="H48" s="83"/>
      <c r="I48" s="56">
        <v>0.2</v>
      </c>
      <c r="J48" s="57">
        <v>0.2</v>
      </c>
      <c r="K48" s="57">
        <v>0.2</v>
      </c>
      <c r="L48" s="58">
        <v>0.2</v>
      </c>
      <c r="N48" s="56">
        <v>0.2</v>
      </c>
      <c r="O48" s="57">
        <v>0.2</v>
      </c>
      <c r="P48" s="57">
        <v>0.2</v>
      </c>
      <c r="Q48" s="58">
        <v>0.2</v>
      </c>
      <c r="S48" s="56">
        <v>0.2</v>
      </c>
      <c r="T48" s="57">
        <v>0.2</v>
      </c>
      <c r="U48" s="57">
        <v>0.2</v>
      </c>
      <c r="V48" s="58">
        <v>0.2</v>
      </c>
    </row>
    <row r="49" spans="2:26" x14ac:dyDescent="0.2">
      <c r="B49" s="391"/>
      <c r="C49" s="87" t="s">
        <v>77</v>
      </c>
      <c r="D49" s="94">
        <v>0</v>
      </c>
      <c r="E49" s="94">
        <v>0</v>
      </c>
      <c r="F49" s="94">
        <v>0</v>
      </c>
      <c r="G49" s="95">
        <v>0</v>
      </c>
      <c r="H49" s="96"/>
      <c r="I49" s="97">
        <v>0</v>
      </c>
      <c r="J49" s="98">
        <v>0</v>
      </c>
      <c r="K49" s="98">
        <v>0</v>
      </c>
      <c r="L49" s="99">
        <v>0</v>
      </c>
      <c r="N49" s="97">
        <v>0</v>
      </c>
      <c r="O49" s="98">
        <v>0</v>
      </c>
      <c r="P49" s="98">
        <v>0</v>
      </c>
      <c r="Q49" s="99">
        <v>0</v>
      </c>
      <c r="S49" s="97">
        <v>0</v>
      </c>
      <c r="T49" s="98">
        <v>0</v>
      </c>
      <c r="U49" s="98">
        <v>0</v>
      </c>
      <c r="V49" s="99">
        <v>0</v>
      </c>
    </row>
    <row r="50" spans="2:26" ht="15" customHeight="1" x14ac:dyDescent="0.2">
      <c r="B50" s="391"/>
      <c r="C50" s="87" t="s">
        <v>78</v>
      </c>
      <c r="D50" s="63">
        <v>55</v>
      </c>
      <c r="E50" s="63">
        <v>55</v>
      </c>
      <c r="F50" s="63">
        <v>55</v>
      </c>
      <c r="G50" s="64">
        <v>55</v>
      </c>
      <c r="H50" s="83"/>
      <c r="I50" s="56">
        <v>55</v>
      </c>
      <c r="J50" s="57">
        <v>55</v>
      </c>
      <c r="K50" s="57">
        <v>55</v>
      </c>
      <c r="L50" s="58">
        <v>55</v>
      </c>
      <c r="N50" s="56">
        <v>55</v>
      </c>
      <c r="O50" s="57">
        <v>55</v>
      </c>
      <c r="P50" s="57">
        <v>55</v>
      </c>
      <c r="Q50" s="58">
        <v>55</v>
      </c>
      <c r="S50" s="56">
        <v>1</v>
      </c>
      <c r="T50" s="57">
        <v>1</v>
      </c>
      <c r="U50" s="57">
        <v>1</v>
      </c>
      <c r="V50" s="58">
        <v>1</v>
      </c>
    </row>
    <row r="51" spans="2:26" ht="15" thickBot="1" x14ac:dyDescent="0.25">
      <c r="B51" s="392"/>
      <c r="C51" s="91" t="s">
        <v>79</v>
      </c>
      <c r="D51" s="92">
        <v>100</v>
      </c>
      <c r="E51" s="92">
        <v>100</v>
      </c>
      <c r="F51" s="92">
        <v>100</v>
      </c>
      <c r="G51" s="93">
        <v>100</v>
      </c>
      <c r="H51" s="83"/>
      <c r="I51" s="77">
        <v>100</v>
      </c>
      <c r="J51" s="78">
        <v>100</v>
      </c>
      <c r="K51" s="78">
        <v>100</v>
      </c>
      <c r="L51" s="79">
        <v>100</v>
      </c>
      <c r="N51" s="77">
        <v>100</v>
      </c>
      <c r="O51" s="78">
        <v>100</v>
      </c>
      <c r="P51" s="78">
        <v>100</v>
      </c>
      <c r="Q51" s="79">
        <v>100</v>
      </c>
      <c r="S51" s="77">
        <v>100</v>
      </c>
      <c r="T51" s="78">
        <v>100</v>
      </c>
      <c r="U51" s="78">
        <v>100</v>
      </c>
      <c r="V51" s="79">
        <v>100</v>
      </c>
    </row>
    <row r="52" spans="2:26" ht="15" customHeight="1" thickTop="1" x14ac:dyDescent="0.2">
      <c r="B52" s="387" t="s">
        <v>32</v>
      </c>
      <c r="C52" s="100" t="s">
        <v>33</v>
      </c>
      <c r="D52" s="109">
        <v>1</v>
      </c>
      <c r="E52" s="109">
        <v>1</v>
      </c>
      <c r="F52" s="109">
        <v>1</v>
      </c>
      <c r="G52" s="110">
        <v>1</v>
      </c>
      <c r="H52" s="67"/>
      <c r="I52" s="111">
        <v>1</v>
      </c>
      <c r="J52" s="112">
        <v>1</v>
      </c>
      <c r="K52" s="112">
        <v>1</v>
      </c>
      <c r="L52" s="113">
        <v>1</v>
      </c>
      <c r="N52" s="111">
        <v>1</v>
      </c>
      <c r="O52" s="112">
        <v>1</v>
      </c>
      <c r="P52" s="112">
        <v>1</v>
      </c>
      <c r="Q52" s="113">
        <v>1</v>
      </c>
      <c r="S52" s="111">
        <v>1</v>
      </c>
      <c r="T52" s="112">
        <v>1</v>
      </c>
      <c r="U52" s="112">
        <v>1</v>
      </c>
      <c r="V52" s="113">
        <v>1</v>
      </c>
    </row>
    <row r="53" spans="2:26" x14ac:dyDescent="0.2">
      <c r="B53" s="388"/>
      <c r="C53" s="29" t="s">
        <v>34</v>
      </c>
      <c r="D53" s="114" t="s">
        <v>112</v>
      </c>
      <c r="E53" s="114" t="s">
        <v>112</v>
      </c>
      <c r="F53" s="114" t="s">
        <v>112</v>
      </c>
      <c r="G53" s="115" t="s">
        <v>112</v>
      </c>
      <c r="H53" s="67"/>
      <c r="I53" s="116">
        <v>0.86</v>
      </c>
      <c r="J53" s="65">
        <v>0.88</v>
      </c>
      <c r="K53" s="65">
        <v>0.9</v>
      </c>
      <c r="L53" s="66">
        <v>0.96</v>
      </c>
      <c r="N53" s="117" t="s">
        <v>112</v>
      </c>
      <c r="O53" s="114" t="s">
        <v>112</v>
      </c>
      <c r="P53" s="114" t="s">
        <v>112</v>
      </c>
      <c r="Q53" s="115" t="s">
        <v>112</v>
      </c>
      <c r="S53" s="117" t="s">
        <v>112</v>
      </c>
      <c r="T53" s="114" t="s">
        <v>112</v>
      </c>
      <c r="U53" s="114" t="s">
        <v>112</v>
      </c>
      <c r="V53" s="115" t="s">
        <v>112</v>
      </c>
    </row>
    <row r="54" spans="2:26" x14ac:dyDescent="0.2">
      <c r="B54" s="388"/>
      <c r="C54" s="29" t="s">
        <v>35</v>
      </c>
      <c r="D54" s="60">
        <v>3.5</v>
      </c>
      <c r="E54" s="60">
        <v>3.1</v>
      </c>
      <c r="F54" s="60">
        <v>2.8</v>
      </c>
      <c r="G54" s="61">
        <v>2.5</v>
      </c>
      <c r="I54" s="59">
        <v>3.5</v>
      </c>
      <c r="J54" s="60">
        <v>3.1</v>
      </c>
      <c r="K54" s="60">
        <v>2.8</v>
      </c>
      <c r="L54" s="61">
        <v>2.5</v>
      </c>
      <c r="N54" s="59">
        <v>3.5</v>
      </c>
      <c r="O54" s="60">
        <v>3.1</v>
      </c>
      <c r="P54" s="60">
        <v>2.8</v>
      </c>
      <c r="Q54" s="61">
        <v>2.5</v>
      </c>
      <c r="S54" s="59">
        <v>3.5</v>
      </c>
      <c r="T54" s="60">
        <v>3.1</v>
      </c>
      <c r="U54" s="60">
        <v>2.8</v>
      </c>
      <c r="V54" s="61">
        <v>2.5</v>
      </c>
    </row>
    <row r="55" spans="2:26" x14ac:dyDescent="0.2">
      <c r="B55" s="388"/>
      <c r="C55" s="29" t="s">
        <v>36</v>
      </c>
      <c r="D55" s="30" t="b">
        <v>0</v>
      </c>
      <c r="E55" s="30" t="b">
        <v>0</v>
      </c>
      <c r="F55" s="30" t="b">
        <v>0</v>
      </c>
      <c r="G55" s="31" t="b">
        <v>0</v>
      </c>
      <c r="I55" s="32" t="b">
        <v>0</v>
      </c>
      <c r="J55" s="30" t="b">
        <v>0</v>
      </c>
      <c r="K55" s="30" t="b">
        <v>0</v>
      </c>
      <c r="L55" s="31" t="b">
        <v>0</v>
      </c>
      <c r="N55" s="32" t="b">
        <v>0</v>
      </c>
      <c r="O55" s="30" t="b">
        <v>0</v>
      </c>
      <c r="P55" s="30" t="b">
        <v>0</v>
      </c>
      <c r="Q55" s="31" t="b">
        <v>0</v>
      </c>
      <c r="S55" s="32" t="b">
        <v>0</v>
      </c>
      <c r="T55" s="30" t="b">
        <v>0</v>
      </c>
      <c r="U55" s="30" t="b">
        <v>0</v>
      </c>
      <c r="V55" s="31" t="b">
        <v>0</v>
      </c>
    </row>
    <row r="56" spans="2:26" x14ac:dyDescent="0.2">
      <c r="B56" s="388"/>
      <c r="C56" s="29" t="s">
        <v>37</v>
      </c>
      <c r="D56" s="30">
        <v>300</v>
      </c>
      <c r="E56" s="30">
        <v>300</v>
      </c>
      <c r="F56" s="30">
        <v>300</v>
      </c>
      <c r="G56" s="31">
        <v>300</v>
      </c>
      <c r="I56" s="56">
        <v>300</v>
      </c>
      <c r="J56" s="57">
        <v>300</v>
      </c>
      <c r="K56" s="57">
        <v>300</v>
      </c>
      <c r="L56" s="58">
        <v>300</v>
      </c>
      <c r="N56" s="56">
        <v>300</v>
      </c>
      <c r="O56" s="57">
        <v>300</v>
      </c>
      <c r="P56" s="57">
        <v>300</v>
      </c>
      <c r="Q56" s="58">
        <v>300</v>
      </c>
      <c r="S56" s="56">
        <v>300</v>
      </c>
      <c r="T56" s="57">
        <v>300</v>
      </c>
      <c r="U56" s="57">
        <v>300</v>
      </c>
      <c r="V56" s="58">
        <v>300</v>
      </c>
    </row>
    <row r="57" spans="2:26" x14ac:dyDescent="0.2">
      <c r="B57" s="388"/>
      <c r="C57" s="29" t="s">
        <v>38</v>
      </c>
      <c r="D57" s="118">
        <v>0.97</v>
      </c>
      <c r="E57" s="119">
        <v>0.97499999999999998</v>
      </c>
      <c r="F57" s="119">
        <v>0.98</v>
      </c>
      <c r="G57" s="120">
        <v>0.98499999999999999</v>
      </c>
      <c r="H57" s="67"/>
      <c r="I57" s="121">
        <v>0.97</v>
      </c>
      <c r="J57" s="119">
        <v>0.97499999999999998</v>
      </c>
      <c r="K57" s="119">
        <v>0.98</v>
      </c>
      <c r="L57" s="120">
        <v>0.98499999999999999</v>
      </c>
      <c r="N57" s="121">
        <v>0.97</v>
      </c>
      <c r="O57" s="119">
        <v>0.97499999999999998</v>
      </c>
      <c r="P57" s="119">
        <v>0.98</v>
      </c>
      <c r="Q57" s="120">
        <v>0.98499999999999999</v>
      </c>
      <c r="S57" s="121">
        <v>0.97</v>
      </c>
      <c r="T57" s="119">
        <v>0.97499999999999998</v>
      </c>
      <c r="U57" s="119">
        <v>0.98</v>
      </c>
      <c r="V57" s="120">
        <v>0.98499999999999999</v>
      </c>
    </row>
    <row r="58" spans="2:26" x14ac:dyDescent="0.2">
      <c r="B58" s="388"/>
      <c r="C58" s="29" t="s">
        <v>39</v>
      </c>
      <c r="D58" s="30">
        <v>1.2</v>
      </c>
      <c r="E58" s="30">
        <v>1.2</v>
      </c>
      <c r="F58" s="30">
        <v>1.2</v>
      </c>
      <c r="G58" s="31">
        <v>1.2</v>
      </c>
      <c r="I58" s="32">
        <v>1.2</v>
      </c>
      <c r="J58" s="30">
        <v>1.2</v>
      </c>
      <c r="K58" s="30">
        <v>1.2</v>
      </c>
      <c r="L58" s="31">
        <v>1.2</v>
      </c>
      <c r="N58" s="32">
        <v>1.2</v>
      </c>
      <c r="O58" s="30">
        <v>1.2</v>
      </c>
      <c r="P58" s="30">
        <v>1.2</v>
      </c>
      <c r="Q58" s="31">
        <v>1.2</v>
      </c>
      <c r="S58" s="32">
        <v>1.2</v>
      </c>
      <c r="T58" s="30">
        <v>1.2</v>
      </c>
      <c r="U58" s="30">
        <v>1.2</v>
      </c>
      <c r="V58" s="31">
        <v>1.2</v>
      </c>
    </row>
    <row r="59" spans="2:26" x14ac:dyDescent="0.2">
      <c r="B59" s="388"/>
      <c r="C59" s="29" t="s">
        <v>40</v>
      </c>
      <c r="D59" s="122">
        <v>5.0000000000000001E-3</v>
      </c>
      <c r="E59" s="122">
        <v>5.0000000000000001E-3</v>
      </c>
      <c r="F59" s="122">
        <v>5.0000000000000001E-3</v>
      </c>
      <c r="G59" s="123">
        <v>5.0000000000000001E-3</v>
      </c>
      <c r="H59" s="124"/>
      <c r="I59" s="125">
        <v>5.0000000000000001E-3</v>
      </c>
      <c r="J59" s="122">
        <v>5.0000000000000001E-3</v>
      </c>
      <c r="K59" s="122">
        <v>5.0000000000000001E-3</v>
      </c>
      <c r="L59" s="123">
        <v>5.0000000000000001E-3</v>
      </c>
      <c r="N59" s="125">
        <v>5.0000000000000001E-3</v>
      </c>
      <c r="O59" s="122">
        <v>5.0000000000000001E-3</v>
      </c>
      <c r="P59" s="122">
        <v>5.0000000000000001E-3</v>
      </c>
      <c r="Q59" s="123">
        <v>5.0000000000000001E-3</v>
      </c>
      <c r="S59" s="125">
        <v>5.0000000000000001E-3</v>
      </c>
      <c r="T59" s="122">
        <v>5.0000000000000001E-3</v>
      </c>
      <c r="U59" s="122">
        <v>5.0000000000000001E-3</v>
      </c>
      <c r="V59" s="123">
        <v>5.0000000000000001E-3</v>
      </c>
    </row>
    <row r="60" spans="2:26" ht="15" thickBot="1" x14ac:dyDescent="0.25">
      <c r="B60" s="393"/>
      <c r="C60" s="126" t="s">
        <v>41</v>
      </c>
      <c r="D60" s="127">
        <v>0.9</v>
      </c>
      <c r="E60" s="127">
        <v>0.9</v>
      </c>
      <c r="F60" s="127">
        <v>0.9</v>
      </c>
      <c r="G60" s="128">
        <v>0.9</v>
      </c>
      <c r="H60" s="67"/>
      <c r="I60" s="129">
        <v>0.9</v>
      </c>
      <c r="J60" s="127">
        <v>0.9</v>
      </c>
      <c r="K60" s="127">
        <v>0.9</v>
      </c>
      <c r="L60" s="128">
        <v>0.9</v>
      </c>
      <c r="N60" s="129">
        <v>0.9</v>
      </c>
      <c r="O60" s="127">
        <v>0.9</v>
      </c>
      <c r="P60" s="127">
        <v>0.9</v>
      </c>
      <c r="Q60" s="128">
        <v>0.9</v>
      </c>
      <c r="S60" s="130">
        <v>0.9</v>
      </c>
      <c r="T60" s="127">
        <v>0.9</v>
      </c>
      <c r="U60" s="127">
        <v>0.9</v>
      </c>
      <c r="V60" s="128">
        <v>0.9</v>
      </c>
    </row>
    <row r="61" spans="2:26" x14ac:dyDescent="0.2">
      <c r="E61" s="131"/>
      <c r="F61" s="131"/>
      <c r="G61" s="131"/>
      <c r="J61" s="132"/>
      <c r="P61" s="132"/>
      <c r="S61" s="131"/>
    </row>
    <row r="62" spans="2:26" x14ac:dyDescent="0.2">
      <c r="D62" s="131"/>
      <c r="E62" s="131"/>
      <c r="F62" s="131"/>
      <c r="G62" s="131"/>
      <c r="I62" s="131"/>
      <c r="J62" s="132"/>
      <c r="K62" s="132"/>
      <c r="L62" s="132"/>
      <c r="N62" s="131"/>
      <c r="P62" s="132"/>
      <c r="Q62" s="132"/>
      <c r="S62" s="131"/>
      <c r="T62" s="132"/>
      <c r="U62" s="132"/>
      <c r="V62" s="132"/>
      <c r="X62" s="22" t="s">
        <v>241</v>
      </c>
    </row>
    <row r="63" spans="2:26" ht="15" thickBot="1" x14ac:dyDescent="0.25">
      <c r="B63" s="133"/>
      <c r="D63" s="131"/>
      <c r="E63" s="131"/>
      <c r="F63" s="131"/>
      <c r="G63" s="131"/>
      <c r="I63" s="131" t="s">
        <v>286</v>
      </c>
      <c r="J63" s="132"/>
      <c r="K63" s="132"/>
      <c r="L63" s="132"/>
      <c r="N63" s="131"/>
      <c r="O63" s="132"/>
      <c r="P63" s="132"/>
      <c r="Q63" s="132"/>
      <c r="S63" s="131"/>
      <c r="T63" s="132"/>
      <c r="U63" s="132"/>
      <c r="V63" s="132"/>
      <c r="X63" s="22" t="s">
        <v>231</v>
      </c>
      <c r="Y63" s="22" t="s">
        <v>232</v>
      </c>
      <c r="Z63" s="22" t="s">
        <v>233</v>
      </c>
    </row>
    <row r="64" spans="2:26" ht="14.5" customHeight="1" x14ac:dyDescent="0.2">
      <c r="B64" s="384" t="s">
        <v>212</v>
      </c>
      <c r="C64" s="134" t="s">
        <v>81</v>
      </c>
      <c r="D64" s="135">
        <v>6.9249000000000001</v>
      </c>
      <c r="E64" s="135">
        <v>8.2197999999999993</v>
      </c>
      <c r="F64" s="135">
        <v>8.9516999999999989</v>
      </c>
      <c r="G64" s="136">
        <v>12.63372</v>
      </c>
      <c r="I64" s="137">
        <v>2.4851000000000001</v>
      </c>
      <c r="J64" s="138">
        <v>2.1791999999999998</v>
      </c>
      <c r="K64" s="138">
        <v>2.0158</v>
      </c>
      <c r="L64" s="139">
        <v>1.4421999999999999</v>
      </c>
      <c r="N64" s="137">
        <v>7.0825399999999989</v>
      </c>
      <c r="O64" s="138">
        <v>8.4449999999999985</v>
      </c>
      <c r="P64" s="138">
        <v>9.2444600000000001</v>
      </c>
      <c r="Q64" s="139">
        <v>13.3994</v>
      </c>
      <c r="S64" s="137">
        <v>9.5709999999999997</v>
      </c>
      <c r="T64" s="138">
        <v>11.24874</v>
      </c>
      <c r="U64" s="138">
        <v>12.205839999999998</v>
      </c>
      <c r="V64" s="139">
        <v>18.297499999999999</v>
      </c>
      <c r="X64" s="225">
        <f>INDEX(Constant!$N$5:$P$7,MATCH($C64,Constant!$M$5:$M$7,0),MATCH(X$63,Constant!$N$4:$P$4,0))</f>
        <v>0.56000000000000005</v>
      </c>
      <c r="Y64" s="225">
        <f>INDEX(Constant!$N$5:$P$7,MATCH($C64,Constant!$M$5:$M$7,0),MATCH(Y$63,Constant!$N$4:$P$4,0))</f>
        <v>0.23</v>
      </c>
      <c r="Z64" s="225">
        <f>INDEX(Constant!$N$5:$P$7,MATCH($C64,Constant!$M$5:$M$7,0),MATCH(Z$63,Constant!$N$4:$P$4,0))</f>
        <v>0</v>
      </c>
    </row>
    <row r="65" spans="2:26" x14ac:dyDescent="0.2">
      <c r="B65" s="385"/>
      <c r="C65" s="140" t="s">
        <v>82</v>
      </c>
      <c r="D65" s="141">
        <v>8.2535799999999995</v>
      </c>
      <c r="E65" s="141">
        <v>9.7624199999999988</v>
      </c>
      <c r="F65" s="141">
        <v>10.618179999999999</v>
      </c>
      <c r="G65" s="142">
        <v>14.536659999999999</v>
      </c>
      <c r="I65" s="143">
        <v>2.0023</v>
      </c>
      <c r="J65" s="144">
        <v>1.7643</v>
      </c>
      <c r="K65" s="144">
        <v>1.6288</v>
      </c>
      <c r="L65" s="145">
        <v>1.1657</v>
      </c>
      <c r="N65" s="143">
        <v>8.4562599999999986</v>
      </c>
      <c r="O65" s="144">
        <v>10.122739999999999</v>
      </c>
      <c r="P65" s="144">
        <v>10.978499999999999</v>
      </c>
      <c r="Q65" s="145">
        <v>16.191879999999998</v>
      </c>
      <c r="S65" s="143">
        <v>12.1608</v>
      </c>
      <c r="T65" s="144">
        <v>14.23264</v>
      </c>
      <c r="U65" s="144">
        <v>15.482499999999998</v>
      </c>
      <c r="V65" s="145">
        <v>22.441179999999999</v>
      </c>
      <c r="X65" s="225">
        <f>INDEX(Constant!$N$5:$P$7,MATCH($C65,Constant!$M$5:$M$7,0),MATCH(X$63,Constant!$N$4:$P$4,0))</f>
        <v>0.24</v>
      </c>
      <c r="Y65" s="225">
        <f>INDEX(Constant!$N$5:$P$7,MATCH($C65,Constant!$M$5:$M$7,0),MATCH(Y$63,Constant!$N$4:$P$4,0))</f>
        <v>0.23</v>
      </c>
      <c r="Z65" s="225">
        <f>INDEX(Constant!$N$5:$P$7,MATCH($C65,Constant!$M$5:$M$7,0),MATCH(Z$63,Constant!$N$4:$P$4,0))</f>
        <v>0.1</v>
      </c>
    </row>
    <row r="66" spans="2:26" x14ac:dyDescent="0.2">
      <c r="B66" s="385"/>
      <c r="C66" s="140" t="s">
        <v>83</v>
      </c>
      <c r="D66" s="141">
        <v>5.9452799999999995</v>
      </c>
      <c r="E66" s="141">
        <v>6.7334800000000001</v>
      </c>
      <c r="F66" s="141">
        <v>7.2852199999999989</v>
      </c>
      <c r="G66" s="142">
        <v>8.7940599999999982</v>
      </c>
      <c r="I66" s="143">
        <v>1.7234</v>
      </c>
      <c r="J66" s="144">
        <v>1.5362</v>
      </c>
      <c r="K66" s="144">
        <v>1.3658999999999999</v>
      </c>
      <c r="L66" s="145">
        <v>1.0230999999999999</v>
      </c>
      <c r="N66" s="143">
        <v>7.7243599999999999</v>
      </c>
      <c r="O66" s="144">
        <v>9.0192599999999992</v>
      </c>
      <c r="P66" s="144">
        <v>10.280379999999999</v>
      </c>
      <c r="Q66" s="145">
        <v>13.478219999999999</v>
      </c>
      <c r="S66" s="143">
        <v>14.559179999999998</v>
      </c>
      <c r="T66" s="144">
        <v>16.552199999999999</v>
      </c>
      <c r="U66" s="144">
        <v>18.365059999999996</v>
      </c>
      <c r="V66" s="145">
        <v>25.661539999999995</v>
      </c>
      <c r="X66" s="225">
        <f>INDEX(Constant!$N$5:$P$7,MATCH($C66,Constant!$M$5:$M$7,0),MATCH(X$63,Constant!$N$4:$P$4,0))</f>
        <v>0.2</v>
      </c>
      <c r="Y66" s="225">
        <f>INDEX(Constant!$N$5:$P$7,MATCH($C66,Constant!$M$5:$M$7,0),MATCH(Y$63,Constant!$N$4:$P$4,0))</f>
        <v>0.54</v>
      </c>
      <c r="Z66" s="225">
        <f>INDEX(Constant!$N$5:$P$7,MATCH($C66,Constant!$M$5:$M$7,0),MATCH(Z$63,Constant!$N$4:$P$4,0))</f>
        <v>0.9</v>
      </c>
    </row>
    <row r="67" spans="2:26" ht="15" thickBot="1" x14ac:dyDescent="0.25">
      <c r="B67" s="385"/>
      <c r="C67" s="146" t="s">
        <v>84</v>
      </c>
      <c r="D67" s="147" t="s">
        <v>209</v>
      </c>
      <c r="E67" s="147" t="s">
        <v>209</v>
      </c>
      <c r="F67" s="147" t="s">
        <v>209</v>
      </c>
      <c r="G67" s="148" t="s">
        <v>209</v>
      </c>
      <c r="I67" s="149" t="s">
        <v>209</v>
      </c>
      <c r="J67" s="147" t="s">
        <v>209</v>
      </c>
      <c r="K67" s="147" t="s">
        <v>209</v>
      </c>
      <c r="L67" s="148" t="s">
        <v>209</v>
      </c>
      <c r="N67" s="149" t="s">
        <v>209</v>
      </c>
      <c r="O67" s="147" t="s">
        <v>209</v>
      </c>
      <c r="P67" s="147" t="s">
        <v>209</v>
      </c>
      <c r="Q67" s="148" t="s">
        <v>209</v>
      </c>
      <c r="S67" s="149" t="s">
        <v>209</v>
      </c>
      <c r="T67" s="147" t="s">
        <v>209</v>
      </c>
      <c r="U67" s="147" t="s">
        <v>209</v>
      </c>
      <c r="V67" s="148" t="s">
        <v>209</v>
      </c>
      <c r="X67" s="225">
        <f>SUM(X64:X66)</f>
        <v>1</v>
      </c>
      <c r="Y67" s="225">
        <f>SUM(Y64:Y66)</f>
        <v>1</v>
      </c>
      <c r="Z67" s="225">
        <f>SUM(Z64:Z66)</f>
        <v>1</v>
      </c>
    </row>
    <row r="68" spans="2:26" ht="16" thickTop="1" thickBot="1" x14ac:dyDescent="0.25">
      <c r="B68" s="385"/>
      <c r="C68" s="150" t="s">
        <v>87</v>
      </c>
      <c r="D68" s="182">
        <v>131898</v>
      </c>
      <c r="E68" s="182">
        <v>131898</v>
      </c>
      <c r="F68" s="182">
        <v>131898</v>
      </c>
      <c r="G68" s="183">
        <v>131898</v>
      </c>
      <c r="H68" s="184"/>
      <c r="I68" s="185">
        <v>454554</v>
      </c>
      <c r="J68" s="182">
        <v>318238</v>
      </c>
      <c r="K68" s="182">
        <v>234923</v>
      </c>
      <c r="L68" s="183">
        <v>147878</v>
      </c>
      <c r="M68" s="186"/>
      <c r="N68" s="185">
        <v>138662</v>
      </c>
      <c r="O68" s="187">
        <v>137001</v>
      </c>
      <c r="P68" s="187">
        <v>135871</v>
      </c>
      <c r="Q68" s="188">
        <v>130868</v>
      </c>
      <c r="R68" s="186"/>
      <c r="S68" s="189">
        <v>242783</v>
      </c>
      <c r="T68" s="187">
        <v>199907</v>
      </c>
      <c r="U68" s="187">
        <v>188362</v>
      </c>
      <c r="V68" s="188">
        <v>149283</v>
      </c>
    </row>
    <row r="69" spans="2:26" ht="16" thickTop="1" thickBot="1" x14ac:dyDescent="0.25">
      <c r="B69" s="385"/>
      <c r="C69" s="151" t="s">
        <v>111</v>
      </c>
      <c r="D69" s="152">
        <v>19045</v>
      </c>
      <c r="E69" s="152">
        <v>19022</v>
      </c>
      <c r="F69" s="152">
        <v>19022</v>
      </c>
      <c r="G69" s="153">
        <v>19022</v>
      </c>
      <c r="I69" s="154">
        <v>21011</v>
      </c>
      <c r="J69" s="155">
        <v>20065</v>
      </c>
      <c r="K69" s="155">
        <v>19426</v>
      </c>
      <c r="L69" s="156">
        <v>18311</v>
      </c>
      <c r="N69" s="157">
        <v>19071</v>
      </c>
      <c r="O69" s="152">
        <v>19002</v>
      </c>
      <c r="P69" s="152">
        <v>18980</v>
      </c>
      <c r="Q69" s="158">
        <v>18867</v>
      </c>
      <c r="S69" s="157">
        <v>18624</v>
      </c>
      <c r="T69" s="152">
        <v>18381</v>
      </c>
      <c r="U69" s="152">
        <v>18326</v>
      </c>
      <c r="V69" s="158">
        <v>17927</v>
      </c>
    </row>
    <row r="70" spans="2:26" ht="15" thickTop="1" x14ac:dyDescent="0.2">
      <c r="B70" s="385"/>
      <c r="C70" s="159" t="s">
        <v>104</v>
      </c>
      <c r="D70" s="160">
        <f>200*D64</f>
        <v>1384.98</v>
      </c>
      <c r="E70" s="160">
        <f t="shared" ref="E70:G72" si="0">200*E64</f>
        <v>1643.9599999999998</v>
      </c>
      <c r="F70" s="160">
        <f t="shared" si="0"/>
        <v>1790.3399999999997</v>
      </c>
      <c r="G70" s="161">
        <f t="shared" si="0"/>
        <v>2526.7440000000001</v>
      </c>
      <c r="I70" s="162">
        <f>$I$32*($I$44-$I$43)/I64</f>
        <v>215.55913242927852</v>
      </c>
      <c r="J70" s="160">
        <f>$J$32*($J$44-$J$43)/J64</f>
        <v>219.58149779735683</v>
      </c>
      <c r="K70" s="160">
        <f>$K$32*($K$44-$K$43)/K64</f>
        <v>223.09296557198135</v>
      </c>
      <c r="L70" s="161">
        <f>$L$32*($L$44-$L$43)/L64</f>
        <v>235.02981555956177</v>
      </c>
      <c r="M70" s="24"/>
      <c r="N70" s="163">
        <f>200*N64</f>
        <v>1416.5079999999998</v>
      </c>
      <c r="O70" s="164">
        <f t="shared" ref="O70:Q70" si="1">200*O64</f>
        <v>1688.9999999999998</v>
      </c>
      <c r="P70" s="164">
        <f t="shared" si="1"/>
        <v>1848.8920000000001</v>
      </c>
      <c r="Q70" s="165">
        <f t="shared" si="1"/>
        <v>2679.88</v>
      </c>
      <c r="S70" s="162">
        <f>$S$18/8.7*S64</f>
        <v>1283.0420551724139</v>
      </c>
      <c r="T70" s="160">
        <f>$T$18/8.7*T64</f>
        <v>1317.7446374482759</v>
      </c>
      <c r="U70" s="160">
        <f>$U$18/8.7*U64</f>
        <v>1424.2952606896552</v>
      </c>
      <c r="V70" s="161">
        <f>$V$18/8.7*V64</f>
        <v>1429.03475</v>
      </c>
      <c r="X70" s="22">
        <v>65</v>
      </c>
      <c r="Y70" s="22" t="s">
        <v>279</v>
      </c>
    </row>
    <row r="71" spans="2:26" x14ac:dyDescent="0.2">
      <c r="B71" s="385"/>
      <c r="C71" s="140" t="s">
        <v>105</v>
      </c>
      <c r="D71" s="160">
        <f>200*D65</f>
        <v>1650.7159999999999</v>
      </c>
      <c r="E71" s="160">
        <f t="shared" si="0"/>
        <v>1952.4839999999997</v>
      </c>
      <c r="F71" s="160">
        <f t="shared" si="0"/>
        <v>2123.636</v>
      </c>
      <c r="G71" s="161">
        <f t="shared" si="0"/>
        <v>2907.3319999999999</v>
      </c>
      <c r="I71" s="166">
        <f>$I$32*($I$44-$I$43)/I65</f>
        <v>267.53533436547974</v>
      </c>
      <c r="J71" s="167">
        <f t="shared" ref="J71:J72" si="2">$J$32*($J$44-$J$43)/J65</f>
        <v>271.21918041149462</v>
      </c>
      <c r="K71" s="167">
        <f t="shared" ref="K71:K72" si="3">$K$32*($K$44-$K$43)/K65</f>
        <v>276.09945972495086</v>
      </c>
      <c r="L71" s="168">
        <f t="shared" ref="L71:L72" si="4">$L$32*($L$44-$L$43)/L65</f>
        <v>290.77807326070172</v>
      </c>
      <c r="M71" s="24"/>
      <c r="N71" s="163">
        <f t="shared" ref="N71:Q72" si="5">200*N65</f>
        <v>1691.2519999999997</v>
      </c>
      <c r="O71" s="169">
        <f t="shared" si="5"/>
        <v>2024.5479999999998</v>
      </c>
      <c r="P71" s="169">
        <f t="shared" si="5"/>
        <v>2195.6999999999998</v>
      </c>
      <c r="Q71" s="161">
        <f t="shared" si="5"/>
        <v>3238.3759999999993</v>
      </c>
      <c r="S71" s="166">
        <f>$S$18/8.7*S65</f>
        <v>1630.2181406896552</v>
      </c>
      <c r="T71" s="167">
        <f>$T$18/8.7*T65</f>
        <v>1667.2965182528735</v>
      </c>
      <c r="U71" s="167">
        <f t="shared" ref="U71:U72" si="6">$U$18/8.7*U65</f>
        <v>1806.6475862068967</v>
      </c>
      <c r="V71" s="168">
        <f t="shared" ref="V71:V72" si="7">$V$18/8.7*V65</f>
        <v>1752.6561580000002</v>
      </c>
      <c r="X71" s="22">
        <v>55</v>
      </c>
      <c r="Y71" s="22" t="s">
        <v>279</v>
      </c>
    </row>
    <row r="72" spans="2:26" x14ac:dyDescent="0.2">
      <c r="B72" s="385"/>
      <c r="C72" s="140" t="s">
        <v>106</v>
      </c>
      <c r="D72" s="160">
        <f>200*D66</f>
        <v>1189.0559999999998</v>
      </c>
      <c r="E72" s="160">
        <f t="shared" si="0"/>
        <v>1346.6959999999999</v>
      </c>
      <c r="F72" s="160">
        <f t="shared" si="0"/>
        <v>1457.0439999999999</v>
      </c>
      <c r="G72" s="161">
        <f t="shared" si="0"/>
        <v>1758.8119999999997</v>
      </c>
      <c r="I72" s="166">
        <f t="shared" ref="I72" si="8">$I$32*($I$44-$I$43)/I66</f>
        <v>310.83091563189043</v>
      </c>
      <c r="J72" s="167">
        <f t="shared" si="2"/>
        <v>311.4906913162348</v>
      </c>
      <c r="K72" s="167">
        <f t="shared" si="3"/>
        <v>329.24137931034488</v>
      </c>
      <c r="L72" s="168">
        <f t="shared" si="4"/>
        <v>331.30681262828659</v>
      </c>
      <c r="N72" s="163">
        <f t="shared" si="5"/>
        <v>1544.8720000000001</v>
      </c>
      <c r="O72" s="169">
        <f t="shared" si="5"/>
        <v>1803.8519999999999</v>
      </c>
      <c r="P72" s="169">
        <f t="shared" si="5"/>
        <v>2056.076</v>
      </c>
      <c r="Q72" s="161">
        <f t="shared" si="5"/>
        <v>2695.6439999999998</v>
      </c>
      <c r="S72" s="166">
        <f t="shared" ref="S72" si="9">$S$18/8.7*S66</f>
        <v>1951.7333851034482</v>
      </c>
      <c r="T72" s="167">
        <f t="shared" ref="T72" si="10">$T$18/8.7*T66</f>
        <v>1939.0236406896552</v>
      </c>
      <c r="U72" s="167">
        <f t="shared" si="6"/>
        <v>2143.0125186206897</v>
      </c>
      <c r="V72" s="168">
        <f t="shared" si="7"/>
        <v>2004.1662739999999</v>
      </c>
      <c r="X72" s="22">
        <v>15.3</v>
      </c>
      <c r="Y72" s="22" t="s">
        <v>279</v>
      </c>
    </row>
    <row r="73" spans="2:26" ht="15" thickBot="1" x14ac:dyDescent="0.25">
      <c r="B73" s="386"/>
      <c r="C73" s="170" t="s">
        <v>107</v>
      </c>
      <c r="D73" s="171" t="s">
        <v>209</v>
      </c>
      <c r="E73" s="171" t="s">
        <v>209</v>
      </c>
      <c r="F73" s="171" t="s">
        <v>209</v>
      </c>
      <c r="G73" s="172" t="s">
        <v>209</v>
      </c>
      <c r="I73" s="277">
        <f>I32*(I44-I43)*I78/dge2kWh</f>
        <v>275.10009767549849</v>
      </c>
      <c r="J73" s="278">
        <f>J32*(J44-J43)*J78/dge2kWh</f>
        <v>277.49113482444966</v>
      </c>
      <c r="K73" s="278">
        <f>K32*(K44-K43)*K78/dge2kWh</f>
        <v>288.17271501800315</v>
      </c>
      <c r="L73" s="279">
        <f>L32*(L44-L43)*L78/dge2kWh</f>
        <v>296.08178900012103</v>
      </c>
      <c r="N73" s="173" t="s">
        <v>209</v>
      </c>
      <c r="O73" s="171" t="s">
        <v>209</v>
      </c>
      <c r="P73" s="171" t="s">
        <v>209</v>
      </c>
      <c r="Q73" s="172" t="s">
        <v>209</v>
      </c>
      <c r="S73" s="173" t="s">
        <v>209</v>
      </c>
      <c r="T73" s="171" t="s">
        <v>209</v>
      </c>
      <c r="U73" s="171" t="s">
        <v>209</v>
      </c>
      <c r="V73" s="172" t="s">
        <v>209</v>
      </c>
      <c r="X73" s="22" t="s">
        <v>240</v>
      </c>
    </row>
    <row r="74" spans="2:26" ht="12.75" customHeight="1" x14ac:dyDescent="0.2">
      <c r="B74" s="397" t="s">
        <v>227</v>
      </c>
      <c r="C74" s="176" t="s">
        <v>231</v>
      </c>
      <c r="D74" s="223">
        <f>D98</f>
        <v>6.5646760979516356</v>
      </c>
      <c r="E74" s="223">
        <f t="shared" ref="E74:V74" si="11">E98</f>
        <v>7.8009698183499179</v>
      </c>
      <c r="F74" s="223">
        <f t="shared" si="11"/>
        <v>8.4467908986309777</v>
      </c>
      <c r="G74" s="223">
        <f t="shared" si="11"/>
        <v>11.191560242192471</v>
      </c>
      <c r="I74" s="223">
        <f t="shared" si="11"/>
        <v>17.16160083163626</v>
      </c>
      <c r="J74" s="223">
        <f t="shared" si="11"/>
        <v>19.500194228489473</v>
      </c>
      <c r="K74" s="223">
        <f t="shared" si="11"/>
        <v>21.219531576318474</v>
      </c>
      <c r="L74" s="223">
        <f t="shared" si="11"/>
        <v>29.446407133360513</v>
      </c>
      <c r="N74" s="223">
        <f t="shared" si="11"/>
        <v>7.4995612936052822</v>
      </c>
      <c r="O74" s="223">
        <f t="shared" si="11"/>
        <v>8.9130380021007021</v>
      </c>
      <c r="P74" s="223">
        <f t="shared" si="11"/>
        <v>9.8142876803186763</v>
      </c>
      <c r="Q74" s="223">
        <f t="shared" si="11"/>
        <v>13.995034420059627</v>
      </c>
      <c r="S74" s="223">
        <f t="shared" si="11"/>
        <v>10.871613849730887</v>
      </c>
      <c r="T74" s="223">
        <f t="shared" si="11"/>
        <v>12.701801850260999</v>
      </c>
      <c r="U74" s="223">
        <f t="shared" si="11"/>
        <v>13.836752269241524</v>
      </c>
      <c r="V74" s="223">
        <f t="shared" si="11"/>
        <v>20.369227587478573</v>
      </c>
      <c r="X74" s="225">
        <f>INDEX(Constant!$N$12:$P$12,MATCH($C74,Constant!$N$11:$P$11,0))</f>
        <v>0.26315789473684209</v>
      </c>
    </row>
    <row r="75" spans="2:26" x14ac:dyDescent="0.2">
      <c r="B75" s="398"/>
      <c r="C75" s="176" t="s">
        <v>232</v>
      </c>
      <c r="D75" s="223">
        <f t="shared" ref="D75:V75" si="12">D99</f>
        <v>5.1405009710918348</v>
      </c>
      <c r="E75" s="223">
        <f t="shared" si="12"/>
        <v>6.1263085035577651</v>
      </c>
      <c r="F75" s="223">
        <f t="shared" si="12"/>
        <v>6.537216889105042</v>
      </c>
      <c r="G75" s="223">
        <f t="shared" si="12"/>
        <v>7.8786304990544522</v>
      </c>
      <c r="I75" s="223">
        <f t="shared" si="12"/>
        <v>19.383813297773031</v>
      </c>
      <c r="J75" s="223">
        <f t="shared" si="12"/>
        <v>21.908543502239461</v>
      </c>
      <c r="K75" s="223">
        <f t="shared" si="12"/>
        <v>24.142838342148362</v>
      </c>
      <c r="L75" s="223">
        <f t="shared" si="12"/>
        <v>33.017134512414351</v>
      </c>
      <c r="N75" s="223">
        <f t="shared" si="12"/>
        <v>7.7171381757826092</v>
      </c>
      <c r="O75" s="223">
        <f t="shared" si="12"/>
        <v>9.1051424585059433</v>
      </c>
      <c r="P75" s="223">
        <f t="shared" si="12"/>
        <v>10.167039812673741</v>
      </c>
      <c r="Q75" s="223">
        <f t="shared" si="12"/>
        <v>13.998889826995757</v>
      </c>
      <c r="S75" s="223">
        <f t="shared" si="12"/>
        <v>12.494665231100772</v>
      </c>
      <c r="T75" s="223">
        <f t="shared" si="12"/>
        <v>14.444430866353668</v>
      </c>
      <c r="U75" s="223">
        <f t="shared" si="12"/>
        <v>15.847212094829249</v>
      </c>
      <c r="V75" s="223">
        <f t="shared" si="12"/>
        <v>22.798672542878005</v>
      </c>
      <c r="X75" s="225">
        <f>INDEX(Constant!$N$12:$P$12,MATCH($C75,Constant!$N$11:$P$11,0))</f>
        <v>0.42105263157894735</v>
      </c>
    </row>
    <row r="76" spans="2:26" x14ac:dyDescent="0.2">
      <c r="B76" s="398"/>
      <c r="C76" s="176" t="s">
        <v>233</v>
      </c>
      <c r="D76" s="223">
        <f t="shared" ref="D76:V76" si="13">D100</f>
        <v>4.5925150978409812</v>
      </c>
      <c r="E76" s="223">
        <f t="shared" si="13"/>
        <v>5.4421628184415933</v>
      </c>
      <c r="F76" s="223">
        <f t="shared" si="13"/>
        <v>5.786961332933954</v>
      </c>
      <c r="G76" s="223">
        <f t="shared" si="13"/>
        <v>6.7083647412060943</v>
      </c>
      <c r="I76" s="223">
        <f t="shared" si="13"/>
        <v>21.724184426590938</v>
      </c>
      <c r="J76" s="223">
        <f t="shared" si="13"/>
        <v>24.403529768535442</v>
      </c>
      <c r="K76" s="223">
        <f t="shared" si="13"/>
        <v>27.327697328988464</v>
      </c>
      <c r="L76" s="223">
        <f t="shared" si="13"/>
        <v>36.675162859995041</v>
      </c>
      <c r="N76" s="223">
        <f t="shared" si="13"/>
        <v>7.7917990060443252</v>
      </c>
      <c r="O76" s="223">
        <f t="shared" si="13"/>
        <v>9.1186625506072865</v>
      </c>
      <c r="P76" s="223">
        <f t="shared" si="13"/>
        <v>10.346171036333608</v>
      </c>
      <c r="Q76" s="223">
        <f t="shared" si="13"/>
        <v>13.707956970082748</v>
      </c>
      <c r="S76" s="223">
        <f t="shared" si="13"/>
        <v>14.277594116044673</v>
      </c>
      <c r="T76" s="223">
        <f t="shared" si="13"/>
        <v>16.286766931340495</v>
      </c>
      <c r="U76" s="223">
        <f t="shared" si="13"/>
        <v>18.029385620448377</v>
      </c>
      <c r="V76" s="223">
        <f t="shared" si="13"/>
        <v>25.298500801345465</v>
      </c>
      <c r="X76" s="225">
        <f>INDEX(Constant!$N$12:$P$12,MATCH($C76,Constant!$N$11:$P$11,0))</f>
        <v>0.31578947368421051</v>
      </c>
    </row>
    <row r="77" spans="2:26" x14ac:dyDescent="0.2">
      <c r="B77" s="264"/>
      <c r="C77" s="176"/>
      <c r="D77" s="223"/>
      <c r="E77" s="223"/>
      <c r="F77" s="223"/>
      <c r="G77" s="223"/>
      <c r="I77" s="223" t="s">
        <v>288</v>
      </c>
      <c r="J77" s="223"/>
      <c r="K77" s="223"/>
      <c r="L77" s="223"/>
      <c r="N77" s="223"/>
      <c r="O77" s="223"/>
      <c r="P77" s="223"/>
      <c r="Q77" s="223"/>
      <c r="S77" s="223"/>
      <c r="T77" s="223"/>
      <c r="U77" s="223"/>
      <c r="V77" s="223"/>
      <c r="X77" s="225">
        <f>SUM(X74:X76)</f>
        <v>0.99999999999999989</v>
      </c>
    </row>
    <row r="78" spans="2:26" x14ac:dyDescent="0.2">
      <c r="B78" s="222"/>
      <c r="C78" s="265" t="s">
        <v>287</v>
      </c>
      <c r="D78" s="266">
        <f t="array" ref="D78">1/SUM(($X$74:$X$76)/(D$74:D$76))</f>
        <v>5.2422550767408849</v>
      </c>
      <c r="E78" s="266">
        <f t="array" ref="E78">1/SUM(($X$74:$X$76)/(E$74:E$76))</f>
        <v>6.230954037978492</v>
      </c>
      <c r="F78" s="266">
        <f t="array" ref="F78">1/SUM(($X$74:$X$76)/(F$74:F$76))</f>
        <v>6.6607848221483748</v>
      </c>
      <c r="G78" s="266">
        <f t="array" ref="G78">1/SUM(($X$74:$X$76)/(G$74:G$76))</f>
        <v>8.0625453915710565</v>
      </c>
      <c r="H78" s="267"/>
      <c r="I78" s="269">
        <f>SUMPRODUCT($X$74:$X$76,I$74:I$76)</f>
        <v>19.538085110521639</v>
      </c>
      <c r="J78" s="269">
        <f t="shared" ref="J78:L78" si="14">SUMPRODUCT($X$74:$X$76,J$74:J$76)</f>
        <v>22.062657777451349</v>
      </c>
      <c r="K78" s="269">
        <f t="shared" si="14"/>
        <v>24.379292031195263</v>
      </c>
      <c r="L78" s="269">
        <f t="shared" si="14"/>
        <v>33.232636259267764</v>
      </c>
      <c r="M78" s="268"/>
      <c r="N78" s="269">
        <f t="array" ref="N78">1/SUM(($X$74:$X$76)/(N$74:N$76))</f>
        <v>7.6817343218707999</v>
      </c>
      <c r="O78" s="269">
        <f t="array" ref="O78">1/SUM(($X$74:$X$76)/(O$74:O$76))</f>
        <v>9.0580075056836051</v>
      </c>
      <c r="P78" s="269">
        <f t="array" ref="P78">1/SUM(($X$74:$X$76)/(P$74:P$76))</f>
        <v>10.126623419438182</v>
      </c>
      <c r="Q78" s="269">
        <f t="array" ref="Q78">1/SUM(($X$74:$X$76)/(Q$74:Q$76))</f>
        <v>13.904689718913888</v>
      </c>
      <c r="R78" s="266"/>
      <c r="S78" s="269">
        <f t="array" ref="S78">1/SUM(($X$74:$X$76)/(S$74:S$76))</f>
        <v>12.496502263797899</v>
      </c>
      <c r="T78" s="269">
        <f t="array" ref="T78">1/SUM(($X$74:$X$76)/(T$74:T$76))</f>
        <v>14.4389094519473</v>
      </c>
      <c r="U78" s="269">
        <f t="array" ref="U78">1/SUM(($X$74:$X$76)/(U$74:U$76))</f>
        <v>15.846972678346251</v>
      </c>
      <c r="V78" s="270">
        <f t="array" ref="V78">1/SUM(($X$74:$X$76)/(V$74:V$76))</f>
        <v>22.794507165522862</v>
      </c>
    </row>
    <row r="79" spans="2:26" x14ac:dyDescent="0.2">
      <c r="B79" s="175"/>
      <c r="C79" s="22" t="s">
        <v>214</v>
      </c>
      <c r="D79" s="184">
        <v>0</v>
      </c>
      <c r="E79" s="184">
        <v>0</v>
      </c>
      <c r="F79" s="184">
        <v>0</v>
      </c>
      <c r="G79" s="184">
        <v>0</v>
      </c>
      <c r="H79" s="22"/>
      <c r="I79" s="184">
        <v>0</v>
      </c>
      <c r="J79" s="184">
        <v>0</v>
      </c>
      <c r="K79" s="184">
        <v>0</v>
      </c>
      <c r="L79" s="184">
        <v>0</v>
      </c>
      <c r="N79" s="184">
        <v>0</v>
      </c>
      <c r="O79" s="184">
        <v>0</v>
      </c>
      <c r="P79" s="184">
        <v>0</v>
      </c>
      <c r="Q79" s="184">
        <v>0</v>
      </c>
      <c r="S79" s="184">
        <v>0</v>
      </c>
      <c r="T79" s="184">
        <v>0</v>
      </c>
      <c r="U79" s="184">
        <v>0</v>
      </c>
      <c r="V79" s="184">
        <v>0</v>
      </c>
    </row>
    <row r="80" spans="2:26" x14ac:dyDescent="0.2">
      <c r="B80" s="175"/>
      <c r="C80" s="22" t="s">
        <v>215</v>
      </c>
      <c r="D80" s="184">
        <v>0</v>
      </c>
      <c r="E80" s="184">
        <v>0</v>
      </c>
      <c r="F80" s="184">
        <v>0</v>
      </c>
      <c r="G80" s="184">
        <v>0</v>
      </c>
      <c r="H80" s="22"/>
      <c r="I80" s="184">
        <v>0</v>
      </c>
      <c r="J80" s="184">
        <v>0</v>
      </c>
      <c r="K80" s="184">
        <v>0</v>
      </c>
      <c r="L80" s="184">
        <v>0</v>
      </c>
      <c r="N80" s="184">
        <v>0</v>
      </c>
      <c r="O80" s="184">
        <v>0</v>
      </c>
      <c r="P80" s="184">
        <v>0</v>
      </c>
      <c r="Q80" s="184">
        <v>0</v>
      </c>
      <c r="S80" s="184">
        <v>0</v>
      </c>
      <c r="T80" s="184">
        <v>0</v>
      </c>
      <c r="U80" s="184">
        <v>0</v>
      </c>
      <c r="V80" s="184">
        <v>0</v>
      </c>
    </row>
    <row r="81" spans="2:27" x14ac:dyDescent="0.2">
      <c r="B81" s="175"/>
      <c r="C81" s="22" t="s">
        <v>216</v>
      </c>
      <c r="D81" s="184">
        <v>-50000</v>
      </c>
      <c r="E81" s="184">
        <v>-50000</v>
      </c>
      <c r="F81" s="184">
        <v>-50000</v>
      </c>
      <c r="G81" s="184">
        <v>-50000</v>
      </c>
      <c r="H81" s="22"/>
      <c r="I81" s="184">
        <v>-50000</v>
      </c>
      <c r="J81" s="184">
        <v>-50000</v>
      </c>
      <c r="K81" s="184">
        <v>-50000</v>
      </c>
      <c r="L81" s="184">
        <v>-50000</v>
      </c>
      <c r="N81" s="184">
        <v>-50000</v>
      </c>
      <c r="O81" s="184">
        <v>-50000</v>
      </c>
      <c r="P81" s="184">
        <v>-50000</v>
      </c>
      <c r="Q81" s="184">
        <v>-50000</v>
      </c>
      <c r="S81" s="184">
        <v>-50000</v>
      </c>
      <c r="T81" s="184">
        <v>-50000</v>
      </c>
      <c r="U81" s="184">
        <v>-50000</v>
      </c>
      <c r="V81" s="184">
        <v>-50000</v>
      </c>
    </row>
    <row r="82" spans="2:27" x14ac:dyDescent="0.2">
      <c r="B82" s="22"/>
      <c r="C82" s="22" t="s">
        <v>217</v>
      </c>
      <c r="D82" s="184">
        <v>0</v>
      </c>
      <c r="E82" s="184">
        <v>1115</v>
      </c>
      <c r="F82" s="184">
        <v>4550</v>
      </c>
      <c r="G82" s="184">
        <v>3500</v>
      </c>
      <c r="I82" s="184">
        <v>0</v>
      </c>
      <c r="J82" s="184">
        <v>0</v>
      </c>
      <c r="K82" s="184">
        <v>0</v>
      </c>
      <c r="L82" s="184">
        <v>0</v>
      </c>
      <c r="N82" s="184">
        <v>0</v>
      </c>
      <c r="O82" s="184">
        <v>1115</v>
      </c>
      <c r="P82" s="184">
        <v>4550</v>
      </c>
      <c r="Q82" s="184">
        <v>3500</v>
      </c>
      <c r="S82" s="184">
        <v>0</v>
      </c>
      <c r="T82" s="184">
        <v>0</v>
      </c>
      <c r="U82" s="184">
        <v>0</v>
      </c>
      <c r="V82" s="184">
        <v>0</v>
      </c>
    </row>
    <row r="83" spans="2:27" x14ac:dyDescent="0.2">
      <c r="C83" s="271" t="s">
        <v>213</v>
      </c>
      <c r="D83" s="272">
        <f>D68+SUM(D79:D82)</f>
        <v>81898</v>
      </c>
      <c r="E83" s="272">
        <f t="shared" ref="E83:G83" si="15">E68+SUM(E79:E82)</f>
        <v>83013</v>
      </c>
      <c r="F83" s="272">
        <f t="shared" si="15"/>
        <v>86448</v>
      </c>
      <c r="G83" s="272">
        <f t="shared" si="15"/>
        <v>85398</v>
      </c>
      <c r="H83" s="267"/>
      <c r="I83" s="272">
        <f t="shared" ref="I83:L83" si="16">I68+SUM(I79:I82)</f>
        <v>404554</v>
      </c>
      <c r="J83" s="272">
        <f t="shared" si="16"/>
        <v>268238</v>
      </c>
      <c r="K83" s="272">
        <f t="shared" si="16"/>
        <v>184923</v>
      </c>
      <c r="L83" s="272">
        <f t="shared" si="16"/>
        <v>97878</v>
      </c>
      <c r="M83" s="268"/>
      <c r="N83" s="272">
        <f t="shared" ref="N83:Q83" si="17">N68+SUM(N79:N82)</f>
        <v>88662</v>
      </c>
      <c r="O83" s="272">
        <f t="shared" si="17"/>
        <v>88116</v>
      </c>
      <c r="P83" s="272">
        <f t="shared" si="17"/>
        <v>90421</v>
      </c>
      <c r="Q83" s="272">
        <f t="shared" si="17"/>
        <v>84368</v>
      </c>
      <c r="R83" s="268"/>
      <c r="S83" s="272">
        <f t="shared" ref="S83:V83" si="18">S68+SUM(S79:S82)</f>
        <v>192783</v>
      </c>
      <c r="T83" s="272">
        <f t="shared" si="18"/>
        <v>149907</v>
      </c>
      <c r="U83" s="272">
        <f t="shared" si="18"/>
        <v>138362</v>
      </c>
      <c r="V83" s="273">
        <f t="shared" si="18"/>
        <v>99283</v>
      </c>
    </row>
    <row r="84" spans="2:27" x14ac:dyDescent="0.2">
      <c r="D84" s="181">
        <f>D78/D85-1</f>
        <v>8.4330886101873226E-3</v>
      </c>
      <c r="E84" s="181">
        <f>E78/E85-1</f>
        <v>6.2841213661263495E-2</v>
      </c>
    </row>
    <row r="85" spans="2:27" x14ac:dyDescent="0.2">
      <c r="C85" s="22" t="s">
        <v>273</v>
      </c>
      <c r="D85" s="24">
        <v>5.1984163708528346</v>
      </c>
      <c r="E85" s="24">
        <v>5.8625446189785695</v>
      </c>
    </row>
    <row r="86" spans="2:27" x14ac:dyDescent="0.2">
      <c r="B86" s="133"/>
      <c r="C86" s="176" t="s">
        <v>260</v>
      </c>
      <c r="D86" s="22">
        <v>6.6211462859507551</v>
      </c>
      <c r="E86" s="22">
        <v>7.1816637760469959</v>
      </c>
    </row>
    <row r="87" spans="2:27" x14ac:dyDescent="0.2">
      <c r="B87" s="176"/>
      <c r="C87" s="256" t="s">
        <v>259</v>
      </c>
      <c r="D87" s="22">
        <v>5.2005122504566703</v>
      </c>
      <c r="E87" s="22">
        <v>5.9014545610129261</v>
      </c>
    </row>
    <row r="88" spans="2:27" x14ac:dyDescent="0.2">
      <c r="B88" s="176"/>
      <c r="C88" s="176" t="s">
        <v>258</v>
      </c>
      <c r="D88" s="22">
        <v>4.4069268075561165</v>
      </c>
      <c r="E88" s="22">
        <v>5.0458414697527036</v>
      </c>
    </row>
    <row r="89" spans="2:27" x14ac:dyDescent="0.2">
      <c r="B89" s="176"/>
    </row>
    <row r="90" spans="2:27" x14ac:dyDescent="0.2">
      <c r="B90" s="22"/>
    </row>
    <row r="91" spans="2:27" x14ac:dyDescent="0.2">
      <c r="B91" s="22"/>
    </row>
    <row r="92" spans="2:27" x14ac:dyDescent="0.2">
      <c r="B92" s="22"/>
      <c r="Y92" s="22" t="s">
        <v>283</v>
      </c>
    </row>
    <row r="93" spans="2:27" ht="15" thickBot="1" x14ac:dyDescent="0.25">
      <c r="B93" s="22"/>
      <c r="C93" s="22" t="s">
        <v>277</v>
      </c>
      <c r="X93" s="22" t="s">
        <v>284</v>
      </c>
      <c r="Y93" s="22" t="s">
        <v>280</v>
      </c>
      <c r="Z93" s="22" t="s">
        <v>281</v>
      </c>
      <c r="AA93" s="22" t="s">
        <v>282</v>
      </c>
    </row>
    <row r="94" spans="2:27" x14ac:dyDescent="0.2">
      <c r="B94" s="397" t="s">
        <v>227</v>
      </c>
      <c r="C94" s="176" t="s">
        <v>231</v>
      </c>
      <c r="D94" s="223">
        <f t="array" ref="D94">1/SUM(($X$64:$X$66)/(D$64:D$66))</f>
        <v>6.9644665136829378</v>
      </c>
      <c r="E94" s="223">
        <f t="array" ref="E94">1/SUM(($X$64:$X$66)/(E$64:E$66))</f>
        <v>8.1689622462701017</v>
      </c>
      <c r="F94" s="223">
        <f t="array" ref="F94">1/SUM(($X$64:$X$66)/(F$64:F$66))</f>
        <v>8.8799271588844881</v>
      </c>
      <c r="G94" s="223">
        <f t="array" ref="G94">1/SUM(($X$64:$X$66)/(G$64:G$66))</f>
        <v>11.964810088376927</v>
      </c>
      <c r="I94" s="223">
        <f>dge2kWh/SUMPRODUCT($X$64:$X$66,I$64:I$66)</f>
        <v>17.16160083163626</v>
      </c>
      <c r="J94" s="223">
        <f>dge2kWh/SUMPRODUCT($X$64:$X$66,J$64:J$66)</f>
        <v>19.500194228489473</v>
      </c>
      <c r="K94" s="223">
        <f>dge2kWh/SUMPRODUCT($X$64:$X$66,K$64:K$66)</f>
        <v>21.219531576318474</v>
      </c>
      <c r="L94" s="223">
        <f>dge2kWh/SUMPRODUCT($X$64:$X$66,L$64:L$66)</f>
        <v>29.446407133360513</v>
      </c>
      <c r="N94" s="223">
        <f t="array" ref="N94">1/SUM(($X$64:$X$66)/(N$64:N$66))</f>
        <v>7.4995612936052822</v>
      </c>
      <c r="O94" s="223">
        <f t="array" ref="O94">1/SUM(($X$64:$X$66)/(O$64:O$66))</f>
        <v>8.9130380021007021</v>
      </c>
      <c r="P94" s="223">
        <f t="array" ref="P94">1/SUM(($X$64:$X$66)/(P$64:P$66))</f>
        <v>9.8142876803186763</v>
      </c>
      <c r="Q94" s="223">
        <f t="array" ref="Q94">1/SUM(($X$64:$X$66)/(Q$64:Q$66))</f>
        <v>13.995034420059627</v>
      </c>
      <c r="S94" s="223">
        <f t="array" ref="S94">1/SUM(($X$64:$X$66)/(S$64:S$66))</f>
        <v>10.871613849730887</v>
      </c>
      <c r="T94" s="223">
        <f t="array" ref="T94">1/SUM(($X$64:$X$66)/(T$64:T$66))</f>
        <v>12.701801850260999</v>
      </c>
      <c r="U94" s="223">
        <f t="array" ref="U94">1/SUM(($X$64:$X$66)/(U$64:U$66))</f>
        <v>13.836752269241524</v>
      </c>
      <c r="V94" s="223">
        <f t="array" ref="V94">1/SUM(($X$64:$X$66)/(V$64:V$66))</f>
        <v>20.369227587478573</v>
      </c>
      <c r="X94" s="22">
        <f t="array" ref="X94">1/SUM((X64:X66)/($X$70:$X$72))</f>
        <v>38.386365550346689</v>
      </c>
      <c r="Y94" s="224">
        <f>1-Z94-AA94</f>
        <v>0.75</v>
      </c>
      <c r="Z94" s="224">
        <v>0</v>
      </c>
      <c r="AA94" s="224">
        <v>0.25</v>
      </c>
    </row>
    <row r="95" spans="2:27" x14ac:dyDescent="0.2">
      <c r="B95" s="398"/>
      <c r="C95" s="176" t="s">
        <v>232</v>
      </c>
      <c r="D95" s="223">
        <f t="array" ref="D95">1/SUM(($Y$64:$Y$66)/(D$64:D$66))</f>
        <v>6.5829089793879803</v>
      </c>
      <c r="E95" s="223">
        <f t="array" ref="E95">1/SUM(($Y$64:$Y$66)/(E$64:E$66))</f>
        <v>7.5908690894231254</v>
      </c>
      <c r="F95" s="223">
        <f t="array" ref="F95">1/SUM(($Y$64:$Y$66)/(F$64:F$66))</f>
        <v>8.2320054350388379</v>
      </c>
      <c r="G95" s="223">
        <f t="array" ref="G95">1/SUM(($Y$64:$Y$66)/(G$64:G$66))</f>
        <v>10.478621652903373</v>
      </c>
      <c r="I95" s="223">
        <f>dge2kWh/SUMPRODUCT($Y$64:$Y$66,I$64:I$66)</f>
        <v>19.383813297773031</v>
      </c>
      <c r="J95" s="223">
        <f>dge2kWh/SUMPRODUCT($Y$64:$Y$66,J$64:J$66)</f>
        <v>21.908543502239461</v>
      </c>
      <c r="K95" s="223">
        <f>dge2kWh/SUMPRODUCT($Y$64:$Y$66,K$64:K$66)</f>
        <v>24.142838342148362</v>
      </c>
      <c r="L95" s="223">
        <f>dge2kWh/SUMPRODUCT($Y$64:$Y$66,L$64:L$66)</f>
        <v>33.017134512414351</v>
      </c>
      <c r="N95" s="223">
        <f t="array" ref="N95">1/SUM(($Y$64:$Y$66)/(N$64:N$66))</f>
        <v>7.7171381757826092</v>
      </c>
      <c r="O95" s="223">
        <f t="array" ref="O95">1/SUM(($Y$64:$Y$66)/(O$64:O$66))</f>
        <v>9.1051424585059433</v>
      </c>
      <c r="P95" s="223">
        <f t="array" ref="P95">1/SUM(($Y$64:$Y$66)/(P$64:P$66))</f>
        <v>10.167039812673741</v>
      </c>
      <c r="Q95" s="223">
        <f t="array" ref="Q95">1/SUM(($Y$64:$Y$66)/(Q$64:Q$66))</f>
        <v>13.998889826995757</v>
      </c>
      <c r="S95" s="223">
        <f t="array" ref="S95">1/SUM(($Y$64:$Y$66)/(S$64:S$66))</f>
        <v>12.494665231100772</v>
      </c>
      <c r="T95" s="223">
        <f t="array" ref="T95">1/SUM(($Y$64:$Y$66)/(T$64:T$66))</f>
        <v>14.444430866353668</v>
      </c>
      <c r="U95" s="223">
        <f t="array" ref="U95">1/SUM(($Y$64:$Y$66)/(U$64:U$66))</f>
        <v>15.847212094829249</v>
      </c>
      <c r="V95" s="223">
        <f t="array" ref="V95">1/SUM(($Y$64:$Y$66)/(V$64:V$66))</f>
        <v>22.798672542878005</v>
      </c>
      <c r="X95" s="22">
        <f t="array" ref="X95">1/SUM((Y64:Y66)/($X$70:$X$72))</f>
        <v>23.24802999005432</v>
      </c>
      <c r="Y95" s="224">
        <f>1-Z95-AA95</f>
        <v>0.57999999999999996</v>
      </c>
      <c r="Z95" s="224">
        <v>0.17</v>
      </c>
      <c r="AA95" s="224">
        <v>0.25</v>
      </c>
    </row>
    <row r="96" spans="2:27" x14ac:dyDescent="0.2">
      <c r="B96" s="398"/>
      <c r="C96" s="176" t="s">
        <v>233</v>
      </c>
      <c r="D96" s="223">
        <f t="array" ref="D96">1/SUM(($Z$64:$Z$66)/(D$64:D$66))</f>
        <v>6.1163371789473677</v>
      </c>
      <c r="E96" s="223">
        <f t="array" ref="E96">1/SUM(($Z$64:$Z$66)/(E$64:E$66))</f>
        <v>6.9490860135698123</v>
      </c>
      <c r="F96" s="223">
        <f t="array" ref="F96">1/SUM(($Z$64:$Z$66)/(F$64:F$66))</f>
        <v>7.5213077074666064</v>
      </c>
      <c r="G96" s="223">
        <f t="array" ref="G96">1/SUM(($Z$64:$Z$66)/(G$64:G$66))</f>
        <v>9.1557511774193525</v>
      </c>
      <c r="I96" s="223">
        <f>dge2kWh/SUMPRODUCT($Z$64:$Z$66,I$64:I$66)</f>
        <v>21.724184426590938</v>
      </c>
      <c r="J96" s="223">
        <f>dge2kWh/SUMPRODUCT($Z$64:$Z$66,J$64:J$66)</f>
        <v>24.403529768535442</v>
      </c>
      <c r="K96" s="223">
        <f>dge2kWh/SUMPRODUCT($Z$64:$Z$66,K$64:K$66)</f>
        <v>27.327697328988464</v>
      </c>
      <c r="L96" s="223">
        <f>dge2kWh/SUMPRODUCT($Z$64:$Z$66,L$64:L$66)</f>
        <v>36.675162859995041</v>
      </c>
      <c r="N96" s="223">
        <f t="array" ref="N96">1/SUM(($Z$64:$Z$66)/(N$64:N$66))</f>
        <v>7.7917990060443252</v>
      </c>
      <c r="O96" s="223">
        <f t="array" ref="O96">1/SUM(($Z$64:$Z$66)/(O$64:O$66))</f>
        <v>9.1186625506072865</v>
      </c>
      <c r="P96" s="223">
        <f t="array" ref="P96">1/SUM(($Z$64:$Z$66)/(P$64:P$66))</f>
        <v>10.346171036333608</v>
      </c>
      <c r="Q96" s="223">
        <f t="array" ref="Q96">1/SUM(($Z$64:$Z$66)/(Q$64:Q$66))</f>
        <v>13.707956970082748</v>
      </c>
      <c r="S96" s="223">
        <f t="array" ref="S96">1/SUM(($Z$64:$Z$66)/(S$64:S$66))</f>
        <v>14.277594116044673</v>
      </c>
      <c r="T96" s="223">
        <f t="array" ref="T96">1/SUM(($Z$64:$Z$66)/(T$64:T$66))</f>
        <v>16.286766931340495</v>
      </c>
      <c r="U96" s="223">
        <f t="array" ref="U96">1/SUM(($Z$64:$Z$66)/(U$64:U$66))</f>
        <v>18.029385620448377</v>
      </c>
      <c r="V96" s="223">
        <f t="array" ref="V96">1/SUM(($Z$64:$Z$66)/(V$64:V$66))</f>
        <v>25.298500801345465</v>
      </c>
      <c r="X96" s="22">
        <f t="array" ref="X96">1/SUM((Z64:Z66)/($X$70:$X$72))</f>
        <v>16.490299823633158</v>
      </c>
      <c r="Y96" s="224">
        <f>1-Z96-AA96</f>
        <v>0.6</v>
      </c>
      <c r="Z96" s="224">
        <v>0.15</v>
      </c>
      <c r="AA96" s="224">
        <v>0.25</v>
      </c>
    </row>
    <row r="97" spans="3:28" x14ac:dyDescent="0.2">
      <c r="C97" s="22" t="s">
        <v>278</v>
      </c>
      <c r="I97" s="199" t="s">
        <v>291</v>
      </c>
      <c r="N97" s="199" t="s">
        <v>292</v>
      </c>
      <c r="S97" s="199" t="s">
        <v>293</v>
      </c>
      <c r="Y97" s="22">
        <v>2021</v>
      </c>
      <c r="Z97" s="30">
        <f>Z101*Z99</f>
        <v>1.9</v>
      </c>
      <c r="AA97" s="30">
        <f>Z101*AA99</f>
        <v>1.0069999999999999</v>
      </c>
      <c r="AB97" s="22" t="s">
        <v>285</v>
      </c>
    </row>
    <row r="98" spans="3:28" x14ac:dyDescent="0.2">
      <c r="C98" s="176" t="s">
        <v>231</v>
      </c>
      <c r="D98" s="275">
        <f>($X94*$Y94)/($Y94*$X94/D94+SUMPRODUCT($Z94:$AA94,$Z$97:$AA$97))</f>
        <v>6.5646760979516356</v>
      </c>
      <c r="E98" s="275">
        <f t="shared" ref="E98:G100" si="19">($X94*$Y94)/($Y94*$X94/E94+SUMPRODUCT($Z94:$AA94,$Z$98:$AA$98))</f>
        <v>7.8009698183499179</v>
      </c>
      <c r="F98" s="275">
        <f t="shared" si="19"/>
        <v>8.4467908986309777</v>
      </c>
      <c r="G98" s="275">
        <f t="shared" si="19"/>
        <v>11.191560242192471</v>
      </c>
      <c r="H98" s="275"/>
      <c r="I98" s="275">
        <f>I94</f>
        <v>17.16160083163626</v>
      </c>
      <c r="J98" s="275">
        <f t="shared" ref="J98:L98" si="20">J94</f>
        <v>19.500194228489473</v>
      </c>
      <c r="K98" s="275">
        <f t="shared" si="20"/>
        <v>21.219531576318474</v>
      </c>
      <c r="L98" s="275">
        <f t="shared" si="20"/>
        <v>29.446407133360513</v>
      </c>
      <c r="M98" s="203"/>
      <c r="N98" s="275">
        <f>N94</f>
        <v>7.4995612936052822</v>
      </c>
      <c r="O98" s="275">
        <f t="shared" ref="O98:Q98" si="21">O94</f>
        <v>8.9130380021007021</v>
      </c>
      <c r="P98" s="275">
        <f t="shared" si="21"/>
        <v>9.8142876803186763</v>
      </c>
      <c r="Q98" s="275">
        <f t="shared" si="21"/>
        <v>13.995034420059627</v>
      </c>
      <c r="R98" s="203"/>
      <c r="S98" s="275">
        <f>S94</f>
        <v>10.871613849730887</v>
      </c>
      <c r="T98" s="275">
        <f t="shared" ref="T98:V98" si="22">T94</f>
        <v>12.701801850260999</v>
      </c>
      <c r="U98" s="275">
        <f t="shared" si="22"/>
        <v>13.836752269241524</v>
      </c>
      <c r="V98" s="275">
        <f t="shared" si="22"/>
        <v>20.369227587478573</v>
      </c>
      <c r="Y98" s="22" t="s">
        <v>294</v>
      </c>
      <c r="Z98" s="30">
        <f>Z101*Z100</f>
        <v>1.52</v>
      </c>
      <c r="AA98" s="30">
        <f>Z101*AA100</f>
        <v>0.66499999999999992</v>
      </c>
    </row>
    <row r="99" spans="3:28" x14ac:dyDescent="0.2">
      <c r="C99" s="176" t="s">
        <v>232</v>
      </c>
      <c r="D99" s="275">
        <f>($X95*$Y95)/($Y95*$X95/D95+SUMPRODUCT($Z95:$AA95,$Z$97:$AA$97))</f>
        <v>5.1405009710918348</v>
      </c>
      <c r="E99" s="275">
        <f t="shared" si="19"/>
        <v>6.1263085035577651</v>
      </c>
      <c r="F99" s="275">
        <f t="shared" si="19"/>
        <v>6.537216889105042</v>
      </c>
      <c r="G99" s="275">
        <f t="shared" si="19"/>
        <v>7.8786304990544522</v>
      </c>
      <c r="H99" s="275"/>
      <c r="I99" s="275">
        <f t="shared" ref="I99:L99" si="23">I95</f>
        <v>19.383813297773031</v>
      </c>
      <c r="J99" s="275">
        <f t="shared" si="23"/>
        <v>21.908543502239461</v>
      </c>
      <c r="K99" s="275">
        <f t="shared" si="23"/>
        <v>24.142838342148362</v>
      </c>
      <c r="L99" s="275">
        <f t="shared" si="23"/>
        <v>33.017134512414351</v>
      </c>
      <c r="M99" s="203"/>
      <c r="N99" s="275">
        <f t="shared" ref="N99:Q99" si="24">N95</f>
        <v>7.7171381757826092</v>
      </c>
      <c r="O99" s="275">
        <f t="shared" si="24"/>
        <v>9.1051424585059433</v>
      </c>
      <c r="P99" s="275">
        <f t="shared" si="24"/>
        <v>10.167039812673741</v>
      </c>
      <c r="Q99" s="275">
        <f t="shared" si="24"/>
        <v>13.998889826995757</v>
      </c>
      <c r="R99" s="203"/>
      <c r="S99" s="275">
        <f t="shared" ref="S99:V99" si="25">S95</f>
        <v>12.494665231100772</v>
      </c>
      <c r="T99" s="275">
        <f t="shared" si="25"/>
        <v>14.444430866353668</v>
      </c>
      <c r="U99" s="275">
        <f t="shared" si="25"/>
        <v>15.847212094829249</v>
      </c>
      <c r="V99" s="275">
        <f t="shared" si="25"/>
        <v>22.798672542878005</v>
      </c>
      <c r="Z99" s="224">
        <v>1</v>
      </c>
      <c r="AA99" s="67">
        <v>0.53</v>
      </c>
    </row>
    <row r="100" spans="3:28" x14ac:dyDescent="0.2">
      <c r="C100" s="176" t="s">
        <v>233</v>
      </c>
      <c r="D100" s="275">
        <f>($X96*$Y96)/($Y96*$X96/D96+SUMPRODUCT($Z96:$AA96,$Z$97:$AA$97))</f>
        <v>4.5925150978409812</v>
      </c>
      <c r="E100" s="275">
        <f t="shared" si="19"/>
        <v>5.4421628184415933</v>
      </c>
      <c r="F100" s="275">
        <f t="shared" si="19"/>
        <v>5.786961332933954</v>
      </c>
      <c r="G100" s="275">
        <f t="shared" si="19"/>
        <v>6.7083647412060943</v>
      </c>
      <c r="H100" s="275"/>
      <c r="I100" s="275">
        <f t="shared" ref="I100:L100" si="26">I96</f>
        <v>21.724184426590938</v>
      </c>
      <c r="J100" s="275">
        <f t="shared" si="26"/>
        <v>24.403529768535442</v>
      </c>
      <c r="K100" s="275">
        <f t="shared" si="26"/>
        <v>27.327697328988464</v>
      </c>
      <c r="L100" s="275">
        <f t="shared" si="26"/>
        <v>36.675162859995041</v>
      </c>
      <c r="M100" s="203"/>
      <c r="N100" s="275">
        <f t="shared" ref="N100:Q100" si="27">N96</f>
        <v>7.7917990060443252</v>
      </c>
      <c r="O100" s="275">
        <f t="shared" si="27"/>
        <v>9.1186625506072865</v>
      </c>
      <c r="P100" s="275">
        <f t="shared" si="27"/>
        <v>10.346171036333608</v>
      </c>
      <c r="Q100" s="275">
        <f t="shared" si="27"/>
        <v>13.707956970082748</v>
      </c>
      <c r="R100" s="203"/>
      <c r="S100" s="275">
        <f t="shared" ref="S100:V100" si="28">S96</f>
        <v>14.277594116044673</v>
      </c>
      <c r="T100" s="275">
        <f t="shared" si="28"/>
        <v>16.286766931340495</v>
      </c>
      <c r="U100" s="275">
        <f t="shared" si="28"/>
        <v>18.029385620448377</v>
      </c>
      <c r="V100" s="275">
        <f t="shared" si="28"/>
        <v>25.298500801345465</v>
      </c>
      <c r="Z100" s="224">
        <v>0.8</v>
      </c>
      <c r="AA100" s="67">
        <v>0.35</v>
      </c>
    </row>
    <row r="101" spans="3:28" x14ac:dyDescent="0.2">
      <c r="Z101" s="30">
        <v>1.9</v>
      </c>
      <c r="AB101" s="22" t="s">
        <v>289</v>
      </c>
    </row>
    <row r="102" spans="3:28" x14ac:dyDescent="0.2">
      <c r="C102" s="22" t="s">
        <v>290</v>
      </c>
      <c r="D102" s="274">
        <f t="shared" ref="D102:E104" si="29">D98/D86-1</f>
        <v>-8.5287630812419524E-3</v>
      </c>
      <c r="E102" s="274">
        <f t="shared" si="29"/>
        <v>8.6234340901407025E-2</v>
      </c>
    </row>
    <row r="103" spans="3:28" x14ac:dyDescent="0.2">
      <c r="D103" s="274">
        <f t="shared" si="29"/>
        <v>-1.1539493894965003E-2</v>
      </c>
      <c r="E103" s="274">
        <f t="shared" si="29"/>
        <v>3.8101444350737257E-2</v>
      </c>
      <c r="Z103" s="276">
        <f>Z100/Z99</f>
        <v>0.8</v>
      </c>
      <c r="AA103" s="276">
        <f>AA100/AA99</f>
        <v>0.660377358490566</v>
      </c>
    </row>
    <row r="104" spans="3:28" x14ac:dyDescent="0.2">
      <c r="D104" s="274">
        <f t="shared" si="29"/>
        <v>4.211285968413514E-2</v>
      </c>
      <c r="E104" s="274">
        <f t="shared" si="29"/>
        <v>7.8544153847210252E-2</v>
      </c>
    </row>
    <row r="107" spans="3:28" x14ac:dyDescent="0.2">
      <c r="C107" s="176"/>
      <c r="J107" s="24"/>
      <c r="K107" s="24"/>
      <c r="L107" s="24"/>
    </row>
    <row r="108" spans="3:28" x14ac:dyDescent="0.2">
      <c r="C108" s="176"/>
      <c r="J108" s="24"/>
      <c r="K108" s="24"/>
      <c r="L108" s="24"/>
    </row>
    <row r="109" spans="3:28" x14ac:dyDescent="0.2">
      <c r="C109" s="176"/>
      <c r="J109" s="24"/>
      <c r="K109" s="24"/>
      <c r="L109" s="24"/>
    </row>
  </sheetData>
  <mergeCells count="11">
    <mergeCell ref="B38:B42"/>
    <mergeCell ref="B3:B6"/>
    <mergeCell ref="B7:B15"/>
    <mergeCell ref="B16:B25"/>
    <mergeCell ref="B26:B30"/>
    <mergeCell ref="B31:B37"/>
    <mergeCell ref="B74:B76"/>
    <mergeCell ref="B94:B96"/>
    <mergeCell ref="B43:B51"/>
    <mergeCell ref="B52:B60"/>
    <mergeCell ref="B64:B73"/>
  </mergeCells>
  <conditionalFormatting sqref="C28:C30">
    <cfRule type="expression" dxfId="7" priority="4">
      <formula>$C$53=0</formula>
    </cfRule>
  </conditionalFormatting>
  <conditionalFormatting sqref="C31:C37 C43:C44">
    <cfRule type="expression" dxfId="6" priority="3">
      <formula>$C$54=0</formula>
    </cfRule>
  </conditionalFormatting>
  <conditionalFormatting sqref="C45:C48">
    <cfRule type="expression" dxfId="5" priority="2">
      <formula>#REF!=2</formula>
    </cfRule>
  </conditionalFormatting>
  <conditionalFormatting sqref="C45:C51">
    <cfRule type="expression" dxfId="4" priority="1">
      <formula>OR($C$37=0,$C$44=0,$C$45=0)</formula>
    </cfRule>
  </conditionalFormatting>
  <pageMargins left="0.7" right="0.7" top="0.75" bottom="0.75" header="0.3" footer="0.3"/>
  <pageSetup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B25F-7B0B-4C64-A965-F0C60BCC93E1}">
  <sheetPr codeName="Sheet9"/>
  <dimension ref="B2:AB104"/>
  <sheetViews>
    <sheetView topLeftCell="B76" zoomScaleNormal="100" workbookViewId="0">
      <selection activeCell="I73" sqref="I73:L73"/>
    </sheetView>
  </sheetViews>
  <sheetFormatPr baseColWidth="10" defaultColWidth="9.1640625" defaultRowHeight="14" x14ac:dyDescent="0.2"/>
  <cols>
    <col min="1" max="1" width="9.1640625" style="22"/>
    <col min="2" max="2" width="3.5" style="23" bestFit="1" customWidth="1"/>
    <col min="3" max="3" width="34.5" style="22" customWidth="1"/>
    <col min="4" max="7" width="10.5" style="24" customWidth="1"/>
    <col min="8" max="8" width="2.5" style="24" customWidth="1"/>
    <col min="9" max="9" width="10.5" style="24" customWidth="1"/>
    <col min="10" max="12" width="10.5" style="22" customWidth="1"/>
    <col min="13" max="13" width="2.33203125" style="22" customWidth="1"/>
    <col min="14" max="14" width="10.5" style="24" customWidth="1"/>
    <col min="15" max="17" width="10.5" style="22" customWidth="1"/>
    <col min="18" max="18" width="2.5" style="22" customWidth="1"/>
    <col min="19" max="19" width="10.5" style="24" customWidth="1"/>
    <col min="20" max="22" width="10.5" style="22" customWidth="1"/>
    <col min="23" max="23" width="2.5" style="22" customWidth="1"/>
    <col min="24" max="16384" width="9.1640625" style="22"/>
  </cols>
  <sheetData>
    <row r="2" spans="2:22" ht="14.5" customHeight="1" thickBot="1" x14ac:dyDescent="0.25"/>
    <row r="3" spans="2:22" ht="15" customHeight="1" x14ac:dyDescent="0.2">
      <c r="B3" s="394" t="s">
        <v>0</v>
      </c>
      <c r="C3" s="25" t="s">
        <v>1</v>
      </c>
      <c r="D3" s="26" t="s">
        <v>210</v>
      </c>
      <c r="E3" s="26" t="s">
        <v>210</v>
      </c>
      <c r="F3" s="26" t="s">
        <v>210</v>
      </c>
      <c r="G3" s="27" t="s">
        <v>210</v>
      </c>
      <c r="I3" s="28" t="s">
        <v>210</v>
      </c>
      <c r="J3" s="26" t="s">
        <v>210</v>
      </c>
      <c r="K3" s="26" t="s">
        <v>210</v>
      </c>
      <c r="L3" s="27" t="s">
        <v>210</v>
      </c>
      <c r="N3" s="28" t="s">
        <v>210</v>
      </c>
      <c r="O3" s="26" t="s">
        <v>210</v>
      </c>
      <c r="P3" s="26" t="s">
        <v>210</v>
      </c>
      <c r="Q3" s="27" t="s">
        <v>210</v>
      </c>
      <c r="S3" s="28" t="s">
        <v>210</v>
      </c>
      <c r="T3" s="26" t="s">
        <v>210</v>
      </c>
      <c r="U3" s="26" t="s">
        <v>210</v>
      </c>
      <c r="V3" s="27" t="s">
        <v>210</v>
      </c>
    </row>
    <row r="4" spans="2:22" ht="15" customHeight="1" x14ac:dyDescent="0.2">
      <c r="B4" s="388"/>
      <c r="C4" s="29" t="s">
        <v>42</v>
      </c>
      <c r="D4" s="30" t="s">
        <v>206</v>
      </c>
      <c r="E4" s="30" t="s">
        <v>206</v>
      </c>
      <c r="F4" s="30" t="s">
        <v>206</v>
      </c>
      <c r="G4" s="31" t="s">
        <v>206</v>
      </c>
      <c r="I4" s="32" t="s">
        <v>80</v>
      </c>
      <c r="J4" s="30" t="s">
        <v>80</v>
      </c>
      <c r="K4" s="30" t="s">
        <v>80</v>
      </c>
      <c r="L4" s="31" t="s">
        <v>80</v>
      </c>
      <c r="N4" s="32" t="s">
        <v>86</v>
      </c>
      <c r="O4" s="30" t="s">
        <v>86</v>
      </c>
      <c r="P4" s="30" t="s">
        <v>86</v>
      </c>
      <c r="Q4" s="31" t="s">
        <v>86</v>
      </c>
      <c r="S4" s="32" t="s">
        <v>116</v>
      </c>
      <c r="T4" s="30" t="s">
        <v>116</v>
      </c>
      <c r="U4" s="30" t="s">
        <v>116</v>
      </c>
      <c r="V4" s="31" t="s">
        <v>116</v>
      </c>
    </row>
    <row r="5" spans="2:22" x14ac:dyDescent="0.2">
      <c r="B5" s="388"/>
      <c r="C5" s="29" t="s">
        <v>43</v>
      </c>
      <c r="D5" s="30" t="s">
        <v>44</v>
      </c>
      <c r="E5" s="30" t="s">
        <v>44</v>
      </c>
      <c r="F5" s="30" t="s">
        <v>44</v>
      </c>
      <c r="G5" s="31" t="s">
        <v>44</v>
      </c>
      <c r="I5" s="32" t="s">
        <v>44</v>
      </c>
      <c r="J5" s="30" t="s">
        <v>44</v>
      </c>
      <c r="K5" s="30" t="s">
        <v>44</v>
      </c>
      <c r="L5" s="31" t="s">
        <v>44</v>
      </c>
      <c r="N5" s="32" t="s">
        <v>44</v>
      </c>
      <c r="O5" s="30" t="s">
        <v>44</v>
      </c>
      <c r="P5" s="30" t="s">
        <v>44</v>
      </c>
      <c r="Q5" s="31" t="s">
        <v>44</v>
      </c>
      <c r="S5" s="32" t="s">
        <v>44</v>
      </c>
      <c r="T5" s="30" t="s">
        <v>44</v>
      </c>
      <c r="U5" s="30" t="s">
        <v>44</v>
      </c>
      <c r="V5" s="31" t="s">
        <v>44</v>
      </c>
    </row>
    <row r="6" spans="2:22" ht="15" thickBot="1" x14ac:dyDescent="0.25">
      <c r="B6" s="395"/>
      <c r="C6" s="33" t="s">
        <v>3</v>
      </c>
      <c r="D6" s="34">
        <v>2021</v>
      </c>
      <c r="E6" s="34">
        <v>2027</v>
      </c>
      <c r="F6" s="34">
        <v>2035</v>
      </c>
      <c r="G6" s="35">
        <v>2050</v>
      </c>
      <c r="I6" s="36">
        <v>2021</v>
      </c>
      <c r="J6" s="34">
        <v>2027</v>
      </c>
      <c r="K6" s="34">
        <v>2035</v>
      </c>
      <c r="L6" s="35">
        <v>2050</v>
      </c>
      <c r="N6" s="36">
        <v>2021</v>
      </c>
      <c r="O6" s="34">
        <v>2027</v>
      </c>
      <c r="P6" s="34">
        <v>2035</v>
      </c>
      <c r="Q6" s="35">
        <v>2050</v>
      </c>
      <c r="S6" s="36">
        <v>2021</v>
      </c>
      <c r="T6" s="34">
        <v>2027</v>
      </c>
      <c r="U6" s="34">
        <v>2035</v>
      </c>
      <c r="V6" s="35">
        <v>2050</v>
      </c>
    </row>
    <row r="7" spans="2:22" ht="15" customHeight="1" thickTop="1" x14ac:dyDescent="0.2">
      <c r="B7" s="388" t="s">
        <v>4</v>
      </c>
      <c r="C7" s="37" t="s">
        <v>5</v>
      </c>
      <c r="D7" s="38">
        <v>1</v>
      </c>
      <c r="E7" s="38">
        <v>1</v>
      </c>
      <c r="F7" s="38">
        <v>1</v>
      </c>
      <c r="G7" s="39">
        <v>1</v>
      </c>
      <c r="I7" s="40">
        <v>4</v>
      </c>
      <c r="J7" s="41">
        <v>4</v>
      </c>
      <c r="K7" s="41">
        <v>4</v>
      </c>
      <c r="L7" s="42">
        <v>4</v>
      </c>
      <c r="N7" s="40">
        <v>2</v>
      </c>
      <c r="O7" s="41">
        <v>2</v>
      </c>
      <c r="P7" s="41">
        <v>2</v>
      </c>
      <c r="Q7" s="42">
        <v>2</v>
      </c>
      <c r="S7" s="40">
        <v>2</v>
      </c>
      <c r="T7" s="41">
        <v>2</v>
      </c>
      <c r="U7" s="41">
        <v>2</v>
      </c>
      <c r="V7" s="42">
        <v>2</v>
      </c>
    </row>
    <row r="8" spans="2:22" x14ac:dyDescent="0.2">
      <c r="B8" s="388"/>
      <c r="C8" s="43" t="s">
        <v>6</v>
      </c>
      <c r="D8" s="44">
        <v>0.6</v>
      </c>
      <c r="E8" s="44">
        <v>0.53</v>
      </c>
      <c r="F8" s="44">
        <v>0.5</v>
      </c>
      <c r="G8" s="45">
        <v>0.38</v>
      </c>
      <c r="I8" s="46">
        <v>0.6</v>
      </c>
      <c r="J8" s="44">
        <v>0.53</v>
      </c>
      <c r="K8" s="44">
        <v>0.5</v>
      </c>
      <c r="L8" s="45">
        <v>0.38</v>
      </c>
      <c r="N8" s="46">
        <v>0.6</v>
      </c>
      <c r="O8" s="44">
        <v>0.53</v>
      </c>
      <c r="P8" s="44">
        <v>0.5</v>
      </c>
      <c r="Q8" s="45">
        <v>0.38</v>
      </c>
      <c r="S8" s="46">
        <v>0.6</v>
      </c>
      <c r="T8" s="44">
        <v>0.53</v>
      </c>
      <c r="U8" s="44">
        <v>0.5</v>
      </c>
      <c r="V8" s="45">
        <v>0.38</v>
      </c>
    </row>
    <row r="9" spans="2:22" x14ac:dyDescent="0.2">
      <c r="B9" s="388"/>
      <c r="C9" s="29" t="s">
        <v>7</v>
      </c>
      <c r="D9" s="30">
        <v>9</v>
      </c>
      <c r="E9" s="30">
        <v>9</v>
      </c>
      <c r="F9" s="30">
        <v>9</v>
      </c>
      <c r="G9" s="31">
        <v>9</v>
      </c>
      <c r="I9" s="32">
        <v>9</v>
      </c>
      <c r="J9" s="30">
        <v>9</v>
      </c>
      <c r="K9" s="30">
        <v>9</v>
      </c>
      <c r="L9" s="31">
        <v>9</v>
      </c>
      <c r="N9" s="32">
        <v>9</v>
      </c>
      <c r="O9" s="30">
        <v>9</v>
      </c>
      <c r="P9" s="30">
        <v>9</v>
      </c>
      <c r="Q9" s="31">
        <v>9</v>
      </c>
      <c r="S9" s="32">
        <v>9</v>
      </c>
      <c r="T9" s="30">
        <v>9</v>
      </c>
      <c r="U9" s="30">
        <v>9</v>
      </c>
      <c r="V9" s="31">
        <v>9</v>
      </c>
    </row>
    <row r="10" spans="2:22" x14ac:dyDescent="0.2">
      <c r="B10" s="388"/>
      <c r="C10" s="43" t="s">
        <v>8</v>
      </c>
      <c r="D10" s="44">
        <v>4528</v>
      </c>
      <c r="E10" s="44">
        <v>4501</v>
      </c>
      <c r="F10" s="44">
        <v>4501</v>
      </c>
      <c r="G10" s="45">
        <v>4501</v>
      </c>
      <c r="I10" s="46">
        <v>4528</v>
      </c>
      <c r="J10" s="44">
        <v>4501</v>
      </c>
      <c r="K10" s="44">
        <v>4501</v>
      </c>
      <c r="L10" s="45">
        <v>4501</v>
      </c>
      <c r="N10" s="46">
        <v>4528</v>
      </c>
      <c r="O10" s="44">
        <v>4501</v>
      </c>
      <c r="P10" s="44">
        <v>4501</v>
      </c>
      <c r="Q10" s="45">
        <v>4501</v>
      </c>
      <c r="S10" s="46">
        <v>4528</v>
      </c>
      <c r="T10" s="44">
        <v>4501</v>
      </c>
      <c r="U10" s="44">
        <v>4501</v>
      </c>
      <c r="V10" s="45">
        <v>4501</v>
      </c>
    </row>
    <row r="11" spans="2:22" x14ac:dyDescent="0.2">
      <c r="B11" s="388"/>
      <c r="C11" s="29" t="s">
        <v>9</v>
      </c>
      <c r="D11" s="30">
        <v>0.53</v>
      </c>
      <c r="E11" s="30">
        <v>0.53</v>
      </c>
      <c r="F11" s="30">
        <v>0.53</v>
      </c>
      <c r="G11" s="31">
        <v>0.53</v>
      </c>
      <c r="I11" s="32">
        <v>0.53</v>
      </c>
      <c r="J11" s="30">
        <v>0.53</v>
      </c>
      <c r="K11" s="30">
        <v>0.53</v>
      </c>
      <c r="L11" s="31">
        <v>0.53</v>
      </c>
      <c r="N11" s="32">
        <v>0.53</v>
      </c>
      <c r="O11" s="30">
        <v>0.53</v>
      </c>
      <c r="P11" s="30">
        <v>0.53</v>
      </c>
      <c r="Q11" s="31">
        <v>0.53</v>
      </c>
      <c r="S11" s="32">
        <v>0.53</v>
      </c>
      <c r="T11" s="30">
        <v>0.53</v>
      </c>
      <c r="U11" s="30">
        <v>0.53</v>
      </c>
      <c r="V11" s="31">
        <v>0.53</v>
      </c>
    </row>
    <row r="12" spans="2:22" x14ac:dyDescent="0.2">
      <c r="B12" s="388"/>
      <c r="C12" s="29" t="s">
        <v>10</v>
      </c>
      <c r="D12" s="30">
        <v>0.4</v>
      </c>
      <c r="E12" s="30">
        <v>0.4</v>
      </c>
      <c r="F12" s="30">
        <v>0.4</v>
      </c>
      <c r="G12" s="31">
        <v>0.4</v>
      </c>
      <c r="I12" s="32">
        <v>0.4</v>
      </c>
      <c r="J12" s="30">
        <v>0.4</v>
      </c>
      <c r="K12" s="30">
        <v>0.4</v>
      </c>
      <c r="L12" s="31">
        <v>0.4</v>
      </c>
      <c r="N12" s="32">
        <v>0.4</v>
      </c>
      <c r="O12" s="30">
        <v>0.4</v>
      </c>
      <c r="P12" s="30">
        <v>0.4</v>
      </c>
      <c r="Q12" s="31">
        <v>0.4</v>
      </c>
      <c r="S12" s="32">
        <v>0.4</v>
      </c>
      <c r="T12" s="30">
        <v>0.4</v>
      </c>
      <c r="U12" s="30">
        <v>0.4</v>
      </c>
      <c r="V12" s="31">
        <v>0.4</v>
      </c>
    </row>
    <row r="13" spans="2:22" ht="14.5" customHeight="1" x14ac:dyDescent="0.2">
      <c r="B13" s="388"/>
      <c r="C13" s="29" t="s">
        <v>11</v>
      </c>
      <c r="D13" s="30">
        <v>2.75</v>
      </c>
      <c r="E13" s="30">
        <v>2.75</v>
      </c>
      <c r="F13" s="30">
        <v>2.75</v>
      </c>
      <c r="G13" s="31">
        <v>2.75</v>
      </c>
      <c r="I13" s="32">
        <v>2.75</v>
      </c>
      <c r="J13" s="30">
        <v>2.75</v>
      </c>
      <c r="K13" s="30">
        <v>2.75</v>
      </c>
      <c r="L13" s="31">
        <v>2.75</v>
      </c>
      <c r="N13" s="32">
        <v>2.75</v>
      </c>
      <c r="O13" s="30">
        <v>2.75</v>
      </c>
      <c r="P13" s="30">
        <v>2.75</v>
      </c>
      <c r="Q13" s="31">
        <v>2.75</v>
      </c>
      <c r="S13" s="32">
        <v>2.75</v>
      </c>
      <c r="T13" s="30">
        <v>2.75</v>
      </c>
      <c r="U13" s="30">
        <v>2.75</v>
      </c>
      <c r="V13" s="31">
        <v>2.75</v>
      </c>
    </row>
    <row r="14" spans="2:22" x14ac:dyDescent="0.2">
      <c r="B14" s="388"/>
      <c r="C14" s="43" t="s">
        <v>12</v>
      </c>
      <c r="D14" s="44">
        <v>5083</v>
      </c>
      <c r="E14" s="44">
        <v>5097</v>
      </c>
      <c r="F14" s="44">
        <v>5097</v>
      </c>
      <c r="G14" s="45">
        <v>5097</v>
      </c>
      <c r="I14" s="46">
        <v>5083</v>
      </c>
      <c r="J14" s="44">
        <v>5097</v>
      </c>
      <c r="K14" s="44">
        <v>5097</v>
      </c>
      <c r="L14" s="45">
        <v>5097</v>
      </c>
      <c r="N14" s="46">
        <v>5083</v>
      </c>
      <c r="O14" s="44">
        <v>5097</v>
      </c>
      <c r="P14" s="44">
        <v>5097</v>
      </c>
      <c r="Q14" s="45">
        <v>5097</v>
      </c>
      <c r="S14" s="46">
        <v>5083</v>
      </c>
      <c r="T14" s="44">
        <v>5097</v>
      </c>
      <c r="U14" s="44">
        <v>5097</v>
      </c>
      <c r="V14" s="45">
        <v>5097</v>
      </c>
    </row>
    <row r="15" spans="2:22" ht="15" thickBot="1" x14ac:dyDescent="0.25">
      <c r="B15" s="389"/>
      <c r="C15" s="33" t="s">
        <v>13</v>
      </c>
      <c r="D15" s="34"/>
      <c r="E15" s="34"/>
      <c r="F15" s="34"/>
      <c r="G15" s="35"/>
      <c r="I15" s="36"/>
      <c r="J15" s="34"/>
      <c r="K15" s="34"/>
      <c r="L15" s="35"/>
      <c r="N15" s="36"/>
      <c r="O15" s="34"/>
      <c r="P15" s="34"/>
      <c r="Q15" s="35"/>
      <c r="S15" s="36"/>
      <c r="T15" s="34"/>
      <c r="U15" s="34"/>
      <c r="V15" s="35"/>
    </row>
    <row r="16" spans="2:22" ht="15" customHeight="1" thickTop="1" x14ac:dyDescent="0.2">
      <c r="B16" s="396" t="s">
        <v>14</v>
      </c>
      <c r="C16" s="37" t="s">
        <v>15</v>
      </c>
      <c r="D16" s="38">
        <v>5000</v>
      </c>
      <c r="E16" s="38">
        <v>5000</v>
      </c>
      <c r="F16" s="38">
        <v>5000</v>
      </c>
      <c r="G16" s="39">
        <v>5000</v>
      </c>
      <c r="I16" s="47">
        <v>5000</v>
      </c>
      <c r="J16" s="48">
        <v>5000</v>
      </c>
      <c r="K16" s="48">
        <v>5000</v>
      </c>
      <c r="L16" s="49">
        <v>5000</v>
      </c>
      <c r="N16" s="50">
        <v>5000</v>
      </c>
      <c r="O16" s="51">
        <v>5000</v>
      </c>
      <c r="P16" s="51">
        <v>5000</v>
      </c>
      <c r="Q16" s="52">
        <v>5000</v>
      </c>
      <c r="S16" s="50">
        <v>5000</v>
      </c>
      <c r="T16" s="51">
        <v>5000</v>
      </c>
      <c r="U16" s="51">
        <v>5000</v>
      </c>
      <c r="V16" s="52">
        <v>5000</v>
      </c>
    </row>
    <row r="17" spans="2:22" x14ac:dyDescent="0.2">
      <c r="B17" s="388"/>
      <c r="C17" s="29" t="s">
        <v>16</v>
      </c>
      <c r="D17" s="30">
        <v>1</v>
      </c>
      <c r="E17" s="30">
        <v>1</v>
      </c>
      <c r="F17" s="30">
        <v>1</v>
      </c>
      <c r="G17" s="31">
        <v>1</v>
      </c>
      <c r="I17" s="53">
        <v>1</v>
      </c>
      <c r="J17" s="54">
        <v>1</v>
      </c>
      <c r="K17" s="54">
        <v>1</v>
      </c>
      <c r="L17" s="55">
        <v>1</v>
      </c>
      <c r="N17" s="56">
        <v>1</v>
      </c>
      <c r="O17" s="57">
        <v>1</v>
      </c>
      <c r="P17" s="57">
        <v>1</v>
      </c>
      <c r="Q17" s="58">
        <v>1</v>
      </c>
      <c r="S17" s="56">
        <v>1</v>
      </c>
      <c r="T17" s="57">
        <v>1</v>
      </c>
      <c r="U17" s="57">
        <v>1</v>
      </c>
      <c r="V17" s="58">
        <v>1</v>
      </c>
    </row>
    <row r="18" spans="2:22" x14ac:dyDescent="0.2">
      <c r="B18" s="388"/>
      <c r="C18" s="29" t="s">
        <v>17</v>
      </c>
      <c r="D18" s="30">
        <v>3131</v>
      </c>
      <c r="E18" s="30">
        <v>3131</v>
      </c>
      <c r="F18" s="30">
        <v>3131</v>
      </c>
      <c r="G18" s="31">
        <v>3131</v>
      </c>
      <c r="I18" s="53">
        <v>11385</v>
      </c>
      <c r="J18" s="54">
        <v>11385</v>
      </c>
      <c r="K18" s="54">
        <v>11385</v>
      </c>
      <c r="L18" s="55">
        <v>11385</v>
      </c>
      <c r="N18" s="56">
        <v>3131</v>
      </c>
      <c r="O18" s="57">
        <v>3131</v>
      </c>
      <c r="P18" s="57">
        <v>3131</v>
      </c>
      <c r="Q18" s="58">
        <v>3131</v>
      </c>
      <c r="S18" s="59">
        <v>345.86</v>
      </c>
      <c r="T18" s="60">
        <v>317.08999999999997</v>
      </c>
      <c r="U18" s="60">
        <v>314.7</v>
      </c>
      <c r="V18" s="61">
        <v>253.16</v>
      </c>
    </row>
    <row r="19" spans="2:22" x14ac:dyDescent="0.2">
      <c r="B19" s="388"/>
      <c r="C19" s="29" t="s">
        <v>18</v>
      </c>
      <c r="D19" s="30">
        <v>9.8800000000000008</v>
      </c>
      <c r="E19" s="30">
        <v>9.8800000000000008</v>
      </c>
      <c r="F19" s="30">
        <v>9.8800000000000008</v>
      </c>
      <c r="G19" s="31">
        <v>9.8800000000000008</v>
      </c>
      <c r="I19" s="53">
        <v>12.67</v>
      </c>
      <c r="J19" s="54">
        <v>12.67</v>
      </c>
      <c r="K19" s="54">
        <v>12.67</v>
      </c>
      <c r="L19" s="55">
        <v>12.67</v>
      </c>
      <c r="N19" s="56">
        <v>9.8800000000000008</v>
      </c>
      <c r="O19" s="57">
        <v>9.8800000000000008</v>
      </c>
      <c r="P19" s="57">
        <v>9.8800000000000008</v>
      </c>
      <c r="Q19" s="58">
        <v>9.8800000000000008</v>
      </c>
      <c r="S19" s="59">
        <v>1.55</v>
      </c>
      <c r="T19" s="60">
        <v>1.7</v>
      </c>
      <c r="U19" s="60">
        <v>1.75</v>
      </c>
      <c r="V19" s="61">
        <v>2.2000000000000002</v>
      </c>
    </row>
    <row r="20" spans="2:22" x14ac:dyDescent="0.2">
      <c r="B20" s="388"/>
      <c r="C20" s="29" t="s">
        <v>19</v>
      </c>
      <c r="D20" s="30">
        <v>201</v>
      </c>
      <c r="E20" s="30">
        <v>201</v>
      </c>
      <c r="F20" s="30">
        <v>201</v>
      </c>
      <c r="G20" s="31">
        <v>201</v>
      </c>
      <c r="I20" s="62">
        <v>331</v>
      </c>
      <c r="J20" s="63">
        <v>331</v>
      </c>
      <c r="K20" s="63">
        <v>331</v>
      </c>
      <c r="L20" s="64">
        <v>331</v>
      </c>
      <c r="N20" s="59">
        <v>165.93</v>
      </c>
      <c r="O20" s="60">
        <v>163.71</v>
      </c>
      <c r="P20" s="60">
        <v>162.28</v>
      </c>
      <c r="Q20" s="61">
        <v>160.62</v>
      </c>
      <c r="S20" s="59">
        <v>211.48</v>
      </c>
      <c r="T20" s="60">
        <v>209.32</v>
      </c>
      <c r="U20" s="60">
        <v>208.58</v>
      </c>
      <c r="V20" s="61">
        <v>204.53</v>
      </c>
    </row>
    <row r="21" spans="2:22" x14ac:dyDescent="0.2">
      <c r="B21" s="388"/>
      <c r="C21" s="29" t="s">
        <v>20</v>
      </c>
      <c r="D21" s="30">
        <v>8</v>
      </c>
      <c r="E21" s="30">
        <v>8</v>
      </c>
      <c r="F21" s="30">
        <v>8</v>
      </c>
      <c r="G21" s="31">
        <v>8</v>
      </c>
      <c r="I21" s="53">
        <v>2</v>
      </c>
      <c r="J21" s="54">
        <v>2</v>
      </c>
      <c r="K21" s="54">
        <v>2</v>
      </c>
      <c r="L21" s="55">
        <v>2</v>
      </c>
      <c r="N21" s="56">
        <v>8</v>
      </c>
      <c r="O21" s="57">
        <v>8</v>
      </c>
      <c r="P21" s="57">
        <v>8</v>
      </c>
      <c r="Q21" s="58">
        <v>8</v>
      </c>
      <c r="S21" s="56">
        <v>4</v>
      </c>
      <c r="T21" s="57">
        <v>4</v>
      </c>
      <c r="U21" s="57">
        <v>4</v>
      </c>
      <c r="V21" s="58">
        <v>4</v>
      </c>
    </row>
    <row r="22" spans="2:22" x14ac:dyDescent="0.2">
      <c r="B22" s="388"/>
      <c r="C22" s="43" t="s">
        <v>22</v>
      </c>
      <c r="D22" s="65">
        <v>0.01</v>
      </c>
      <c r="E22" s="65">
        <v>4.3999999999999997E-2</v>
      </c>
      <c r="F22" s="65">
        <v>0.06</v>
      </c>
      <c r="G22" s="66">
        <v>0.1</v>
      </c>
      <c r="H22" s="67"/>
      <c r="I22" s="68">
        <v>0.02</v>
      </c>
      <c r="J22" s="69">
        <v>0.02</v>
      </c>
      <c r="K22" s="69">
        <v>0.02</v>
      </c>
      <c r="L22" s="70">
        <v>0.02</v>
      </c>
      <c r="N22" s="71">
        <v>0.01</v>
      </c>
      <c r="O22" s="72">
        <v>0.04</v>
      </c>
      <c r="P22" s="72">
        <v>0.06</v>
      </c>
      <c r="Q22" s="73">
        <v>0.1</v>
      </c>
      <c r="S22" s="71">
        <v>4.3999999999999997E-2</v>
      </c>
      <c r="T22" s="72">
        <v>0.06</v>
      </c>
      <c r="U22" s="72">
        <v>6.7500000000000004E-2</v>
      </c>
      <c r="V22" s="73">
        <v>0.12</v>
      </c>
    </row>
    <row r="23" spans="2:22" ht="15" customHeight="1" x14ac:dyDescent="0.2">
      <c r="B23" s="388"/>
      <c r="C23" s="29" t="s">
        <v>23</v>
      </c>
      <c r="D23" s="30">
        <v>6</v>
      </c>
      <c r="E23" s="30">
        <v>6</v>
      </c>
      <c r="F23" s="30">
        <v>6</v>
      </c>
      <c r="G23" s="31">
        <v>6</v>
      </c>
      <c r="I23" s="53">
        <v>6</v>
      </c>
      <c r="J23" s="54">
        <v>6</v>
      </c>
      <c r="K23" s="54">
        <v>6</v>
      </c>
      <c r="L23" s="55">
        <v>6</v>
      </c>
      <c r="N23" s="56">
        <v>6</v>
      </c>
      <c r="O23" s="57">
        <v>6</v>
      </c>
      <c r="P23" s="57">
        <v>6</v>
      </c>
      <c r="Q23" s="58">
        <v>6</v>
      </c>
      <c r="S23" s="56">
        <v>5</v>
      </c>
      <c r="T23" s="57">
        <v>5</v>
      </c>
      <c r="U23" s="57">
        <v>5</v>
      </c>
      <c r="V23" s="58">
        <v>5</v>
      </c>
    </row>
    <row r="24" spans="2:22" x14ac:dyDescent="0.2">
      <c r="B24" s="388"/>
      <c r="C24" s="29" t="s">
        <v>24</v>
      </c>
      <c r="D24" s="30">
        <v>0</v>
      </c>
      <c r="E24" s="30">
        <v>0</v>
      </c>
      <c r="F24" s="30">
        <v>0</v>
      </c>
      <c r="G24" s="31">
        <v>0</v>
      </c>
      <c r="I24" s="53">
        <v>0</v>
      </c>
      <c r="J24" s="54">
        <v>0</v>
      </c>
      <c r="K24" s="54">
        <v>0</v>
      </c>
      <c r="L24" s="55">
        <v>0</v>
      </c>
      <c r="N24" s="56">
        <v>0</v>
      </c>
      <c r="O24" s="57">
        <v>0</v>
      </c>
      <c r="P24" s="57">
        <v>0</v>
      </c>
      <c r="Q24" s="58">
        <v>0</v>
      </c>
      <c r="S24" s="56">
        <v>0</v>
      </c>
      <c r="T24" s="57">
        <v>0</v>
      </c>
      <c r="U24" s="57">
        <v>0</v>
      </c>
      <c r="V24" s="58">
        <v>0</v>
      </c>
    </row>
    <row r="25" spans="2:22" ht="15" thickBot="1" x14ac:dyDescent="0.25">
      <c r="B25" s="389"/>
      <c r="C25" s="33" t="s">
        <v>25</v>
      </c>
      <c r="D25" s="34">
        <v>0.23</v>
      </c>
      <c r="E25" s="34">
        <v>0.23</v>
      </c>
      <c r="F25" s="34">
        <v>0.23</v>
      </c>
      <c r="G25" s="35">
        <v>0.23</v>
      </c>
      <c r="I25" s="74">
        <v>0.26</v>
      </c>
      <c r="J25" s="75">
        <v>0.26</v>
      </c>
      <c r="K25" s="75">
        <v>0.26</v>
      </c>
      <c r="L25" s="76">
        <v>0.26</v>
      </c>
      <c r="N25" s="77">
        <v>0.23</v>
      </c>
      <c r="O25" s="78">
        <v>0.23</v>
      </c>
      <c r="P25" s="78">
        <v>0.23</v>
      </c>
      <c r="Q25" s="79">
        <v>0.23</v>
      </c>
      <c r="S25" s="77">
        <v>1.02</v>
      </c>
      <c r="T25" s="78">
        <v>1.02</v>
      </c>
      <c r="U25" s="78">
        <v>1.02</v>
      </c>
      <c r="V25" s="79">
        <v>1.02</v>
      </c>
    </row>
    <row r="26" spans="2:22" ht="15" customHeight="1" thickTop="1" x14ac:dyDescent="0.2">
      <c r="B26" s="390" t="s">
        <v>56</v>
      </c>
      <c r="C26" s="80" t="s">
        <v>57</v>
      </c>
      <c r="D26" s="81">
        <v>0</v>
      </c>
      <c r="E26" s="81">
        <v>0</v>
      </c>
      <c r="F26" s="81">
        <v>0</v>
      </c>
      <c r="G26" s="82">
        <v>0</v>
      </c>
      <c r="H26" s="83"/>
      <c r="I26" s="84">
        <v>211.48</v>
      </c>
      <c r="J26" s="85">
        <v>208.58</v>
      </c>
      <c r="K26" s="85">
        <v>206.32</v>
      </c>
      <c r="L26" s="86">
        <v>204.53</v>
      </c>
      <c r="N26" s="84">
        <v>55.31</v>
      </c>
      <c r="O26" s="85">
        <v>54.57</v>
      </c>
      <c r="P26" s="85">
        <v>54.01</v>
      </c>
      <c r="Q26" s="86">
        <v>53.53</v>
      </c>
      <c r="S26" s="59">
        <v>211.48</v>
      </c>
      <c r="T26" s="60">
        <v>209.32</v>
      </c>
      <c r="U26" s="60">
        <v>208.58</v>
      </c>
      <c r="V26" s="61">
        <v>204.53</v>
      </c>
    </row>
    <row r="27" spans="2:22" x14ac:dyDescent="0.2">
      <c r="B27" s="391"/>
      <c r="C27" s="87" t="s">
        <v>58</v>
      </c>
      <c r="D27" s="88">
        <v>0.95</v>
      </c>
      <c r="E27" s="88">
        <v>0.95</v>
      </c>
      <c r="F27" s="88">
        <v>0.95</v>
      </c>
      <c r="G27" s="89">
        <v>0.95</v>
      </c>
      <c r="H27" s="90"/>
      <c r="I27" s="71">
        <v>0.93</v>
      </c>
      <c r="J27" s="72">
        <v>0.94</v>
      </c>
      <c r="K27" s="72">
        <v>0.96</v>
      </c>
      <c r="L27" s="73">
        <v>0.98</v>
      </c>
      <c r="N27" s="71">
        <v>0.93</v>
      </c>
      <c r="O27" s="72">
        <v>0.94</v>
      </c>
      <c r="P27" s="72">
        <v>0.96</v>
      </c>
      <c r="Q27" s="73">
        <v>0.98</v>
      </c>
      <c r="S27" s="71">
        <v>0.93</v>
      </c>
      <c r="T27" s="72">
        <v>0.94</v>
      </c>
      <c r="U27" s="72">
        <v>0.96</v>
      </c>
      <c r="V27" s="73">
        <v>0.98</v>
      </c>
    </row>
    <row r="28" spans="2:22" ht="14.5" customHeight="1" x14ac:dyDescent="0.2">
      <c r="B28" s="391"/>
      <c r="C28" s="87" t="s">
        <v>59</v>
      </c>
      <c r="D28" s="63">
        <v>4</v>
      </c>
      <c r="E28" s="63">
        <v>4</v>
      </c>
      <c r="F28" s="63">
        <v>4</v>
      </c>
      <c r="G28" s="64">
        <v>4</v>
      </c>
      <c r="H28" s="83"/>
      <c r="I28" s="56">
        <v>4</v>
      </c>
      <c r="J28" s="57">
        <v>4</v>
      </c>
      <c r="K28" s="57">
        <v>4</v>
      </c>
      <c r="L28" s="58">
        <v>4</v>
      </c>
      <c r="N28" s="56">
        <v>4</v>
      </c>
      <c r="O28" s="57">
        <v>4</v>
      </c>
      <c r="P28" s="57">
        <v>4</v>
      </c>
      <c r="Q28" s="58">
        <v>4</v>
      </c>
      <c r="S28" s="56">
        <v>4</v>
      </c>
      <c r="T28" s="57">
        <v>4</v>
      </c>
      <c r="U28" s="57">
        <v>4</v>
      </c>
      <c r="V28" s="58">
        <v>4</v>
      </c>
    </row>
    <row r="29" spans="2:22" x14ac:dyDescent="0.2">
      <c r="B29" s="391"/>
      <c r="C29" s="87" t="s">
        <v>60</v>
      </c>
      <c r="D29" s="63">
        <v>0.83299999999999996</v>
      </c>
      <c r="E29" s="63">
        <v>0.83299999999999996</v>
      </c>
      <c r="F29" s="63">
        <v>0.83299999999999996</v>
      </c>
      <c r="G29" s="64">
        <v>0.83299999999999996</v>
      </c>
      <c r="H29" s="83"/>
      <c r="I29" s="59">
        <v>0.28999999999999998</v>
      </c>
      <c r="J29" s="60">
        <v>0.23</v>
      </c>
      <c r="K29" s="60">
        <v>0.18</v>
      </c>
      <c r="L29" s="61">
        <v>0.08</v>
      </c>
      <c r="N29" s="59">
        <v>0.28999999999999998</v>
      </c>
      <c r="O29" s="60">
        <v>0.23</v>
      </c>
      <c r="P29" s="60">
        <v>0.18</v>
      </c>
      <c r="Q29" s="61">
        <v>0.08</v>
      </c>
      <c r="S29" s="59">
        <v>0.28999999999999998</v>
      </c>
      <c r="T29" s="60">
        <v>0.23</v>
      </c>
      <c r="U29" s="60">
        <v>0.18</v>
      </c>
      <c r="V29" s="61">
        <v>0.08</v>
      </c>
    </row>
    <row r="30" spans="2:22" ht="15" thickBot="1" x14ac:dyDescent="0.25">
      <c r="B30" s="392"/>
      <c r="C30" s="91" t="s">
        <v>61</v>
      </c>
      <c r="D30" s="92">
        <v>21.6</v>
      </c>
      <c r="E30" s="92">
        <v>21.6</v>
      </c>
      <c r="F30" s="92">
        <v>21.6</v>
      </c>
      <c r="G30" s="93">
        <v>21.6</v>
      </c>
      <c r="H30" s="83"/>
      <c r="I30" s="77">
        <v>21.6</v>
      </c>
      <c r="J30" s="78">
        <v>21.6</v>
      </c>
      <c r="K30" s="78">
        <v>21.6</v>
      </c>
      <c r="L30" s="79">
        <v>21.6</v>
      </c>
      <c r="N30" s="77">
        <v>21.6</v>
      </c>
      <c r="O30" s="78">
        <v>21.6</v>
      </c>
      <c r="P30" s="78">
        <v>21.6</v>
      </c>
      <c r="Q30" s="79">
        <v>21.6</v>
      </c>
      <c r="S30" s="77">
        <v>21.6</v>
      </c>
      <c r="T30" s="78">
        <v>21.6</v>
      </c>
      <c r="U30" s="78">
        <v>21.6</v>
      </c>
      <c r="V30" s="79">
        <v>21.6</v>
      </c>
    </row>
    <row r="31" spans="2:22" ht="15" customHeight="1" thickTop="1" x14ac:dyDescent="0.2">
      <c r="B31" s="390" t="s">
        <v>62</v>
      </c>
      <c r="C31" s="80" t="s">
        <v>63</v>
      </c>
      <c r="D31" s="81">
        <v>0</v>
      </c>
      <c r="E31" s="81">
        <v>0</v>
      </c>
      <c r="F31" s="81">
        <v>0</v>
      </c>
      <c r="G31" s="82">
        <v>0</v>
      </c>
      <c r="H31" s="83"/>
      <c r="I31" s="84">
        <v>232.63</v>
      </c>
      <c r="J31" s="85">
        <v>229.44</v>
      </c>
      <c r="K31" s="85">
        <v>228.56</v>
      </c>
      <c r="L31" s="86">
        <v>224.98</v>
      </c>
      <c r="N31" s="84">
        <v>60.84</v>
      </c>
      <c r="O31" s="85">
        <v>60.23</v>
      </c>
      <c r="P31" s="85">
        <v>60.03</v>
      </c>
      <c r="Q31" s="86">
        <v>58.89</v>
      </c>
      <c r="S31" s="84">
        <v>232.63</v>
      </c>
      <c r="T31" s="85">
        <v>230.25</v>
      </c>
      <c r="U31" s="85">
        <v>229.44</v>
      </c>
      <c r="V31" s="86">
        <v>224.98</v>
      </c>
    </row>
    <row r="32" spans="2:22" x14ac:dyDescent="0.2">
      <c r="B32" s="391"/>
      <c r="C32" s="87" t="s">
        <v>64</v>
      </c>
      <c r="D32" s="63">
        <v>0</v>
      </c>
      <c r="E32" s="63">
        <v>0</v>
      </c>
      <c r="F32" s="63">
        <v>0</v>
      </c>
      <c r="G32" s="64">
        <v>0</v>
      </c>
      <c r="H32" s="90"/>
      <c r="I32" s="59">
        <v>295.69</v>
      </c>
      <c r="J32" s="60">
        <v>265.79000000000002</v>
      </c>
      <c r="K32" s="60">
        <v>242.32</v>
      </c>
      <c r="L32" s="61">
        <v>188.14</v>
      </c>
      <c r="N32" s="59">
        <v>16.260000000000002</v>
      </c>
      <c r="O32" s="60">
        <v>14.96</v>
      </c>
      <c r="P32" s="60">
        <v>13.74</v>
      </c>
      <c r="Q32" s="61">
        <v>11.36</v>
      </c>
      <c r="S32" s="56">
        <v>6.5</v>
      </c>
      <c r="T32" s="57">
        <v>6.5</v>
      </c>
      <c r="U32" s="57">
        <v>6.5</v>
      </c>
      <c r="V32" s="58">
        <v>6.5</v>
      </c>
    </row>
    <row r="33" spans="2:22" x14ac:dyDescent="0.2">
      <c r="B33" s="391"/>
      <c r="C33" s="87" t="s">
        <v>65</v>
      </c>
      <c r="D33" s="63">
        <v>8</v>
      </c>
      <c r="E33" s="63">
        <v>8</v>
      </c>
      <c r="F33" s="63">
        <v>8</v>
      </c>
      <c r="G33" s="64">
        <v>8</v>
      </c>
      <c r="H33" s="83"/>
      <c r="I33" s="59">
        <v>4.34</v>
      </c>
      <c r="J33" s="60">
        <v>3.87</v>
      </c>
      <c r="K33" s="60">
        <v>3.35</v>
      </c>
      <c r="L33" s="61">
        <v>2.5</v>
      </c>
      <c r="N33" s="59">
        <v>4.34</v>
      </c>
      <c r="O33" s="60">
        <v>3.87</v>
      </c>
      <c r="P33" s="60">
        <v>3.35</v>
      </c>
      <c r="Q33" s="61">
        <v>2.5</v>
      </c>
      <c r="S33" s="59">
        <v>4.34</v>
      </c>
      <c r="T33" s="60">
        <v>3.87</v>
      </c>
      <c r="U33" s="60">
        <v>3.35</v>
      </c>
      <c r="V33" s="61">
        <v>2.5</v>
      </c>
    </row>
    <row r="34" spans="2:22" x14ac:dyDescent="0.2">
      <c r="B34" s="391"/>
      <c r="C34" s="87" t="s">
        <v>66</v>
      </c>
      <c r="D34" s="63">
        <v>75</v>
      </c>
      <c r="E34" s="63">
        <v>75</v>
      </c>
      <c r="F34" s="63">
        <v>75</v>
      </c>
      <c r="G34" s="64">
        <v>75</v>
      </c>
      <c r="H34" s="83"/>
      <c r="I34" s="56">
        <v>75</v>
      </c>
      <c r="J34" s="57">
        <v>75</v>
      </c>
      <c r="K34" s="57">
        <v>75</v>
      </c>
      <c r="L34" s="58">
        <v>75</v>
      </c>
      <c r="N34" s="56">
        <v>75</v>
      </c>
      <c r="O34" s="57">
        <v>75</v>
      </c>
      <c r="P34" s="57">
        <v>75</v>
      </c>
      <c r="Q34" s="58">
        <v>75</v>
      </c>
      <c r="S34" s="56">
        <v>75</v>
      </c>
      <c r="T34" s="57">
        <v>75</v>
      </c>
      <c r="U34" s="57">
        <v>75</v>
      </c>
      <c r="V34" s="58">
        <v>75</v>
      </c>
    </row>
    <row r="35" spans="2:22" x14ac:dyDescent="0.2">
      <c r="B35" s="391"/>
      <c r="C35" s="87" t="s">
        <v>67</v>
      </c>
      <c r="D35" s="94">
        <v>0.97</v>
      </c>
      <c r="E35" s="94">
        <v>0.97</v>
      </c>
      <c r="F35" s="94">
        <v>0.97</v>
      </c>
      <c r="G35" s="95">
        <v>0.97</v>
      </c>
      <c r="H35" s="96"/>
      <c r="I35" s="97">
        <v>0.97</v>
      </c>
      <c r="J35" s="98">
        <v>0.97</v>
      </c>
      <c r="K35" s="98">
        <v>0.97</v>
      </c>
      <c r="L35" s="99">
        <v>0.97</v>
      </c>
      <c r="N35" s="97">
        <v>0.97</v>
      </c>
      <c r="O35" s="98">
        <v>0.97</v>
      </c>
      <c r="P35" s="98">
        <v>0.97</v>
      </c>
      <c r="Q35" s="99">
        <v>0.97</v>
      </c>
      <c r="S35" s="97">
        <v>0.97</v>
      </c>
      <c r="T35" s="98">
        <v>0.97</v>
      </c>
      <c r="U35" s="98">
        <v>0.97</v>
      </c>
      <c r="V35" s="99">
        <v>0.97</v>
      </c>
    </row>
    <row r="36" spans="2:22" x14ac:dyDescent="0.2">
      <c r="B36" s="391"/>
      <c r="C36" s="87" t="s">
        <v>68</v>
      </c>
      <c r="D36" s="63">
        <v>110</v>
      </c>
      <c r="E36" s="63">
        <v>110</v>
      </c>
      <c r="F36" s="63">
        <v>110</v>
      </c>
      <c r="G36" s="64">
        <v>110</v>
      </c>
      <c r="H36" s="83"/>
      <c r="I36" s="56">
        <v>130</v>
      </c>
      <c r="J36" s="57">
        <v>130</v>
      </c>
      <c r="K36" s="57">
        <v>130</v>
      </c>
      <c r="L36" s="58">
        <v>130</v>
      </c>
      <c r="N36" s="56">
        <v>130</v>
      </c>
      <c r="O36" s="57">
        <v>130</v>
      </c>
      <c r="P36" s="57">
        <v>130</v>
      </c>
      <c r="Q36" s="58">
        <v>130</v>
      </c>
      <c r="S36" s="56">
        <v>130</v>
      </c>
      <c r="T36" s="57">
        <v>130</v>
      </c>
      <c r="U36" s="57">
        <v>130</v>
      </c>
      <c r="V36" s="58">
        <v>130</v>
      </c>
    </row>
    <row r="37" spans="2:22" ht="15" thickBot="1" x14ac:dyDescent="0.25">
      <c r="B37" s="392"/>
      <c r="C37" s="91" t="s">
        <v>69</v>
      </c>
      <c r="D37" s="92">
        <v>-0.68110000000000004</v>
      </c>
      <c r="E37" s="92">
        <v>-0.68110000000000004</v>
      </c>
      <c r="F37" s="92">
        <v>-0.68110000000000004</v>
      </c>
      <c r="G37" s="93">
        <v>-0.68110000000000004</v>
      </c>
      <c r="H37" s="83"/>
      <c r="I37" s="77">
        <v>-0.68110000000000004</v>
      </c>
      <c r="J37" s="78">
        <v>-0.68110000000000004</v>
      </c>
      <c r="K37" s="78">
        <v>-0.68110000000000004</v>
      </c>
      <c r="L37" s="79">
        <v>-0.68110000000000004</v>
      </c>
      <c r="N37" s="77">
        <v>-0.68110000000000004</v>
      </c>
      <c r="O37" s="78">
        <v>-0.68110000000000004</v>
      </c>
      <c r="P37" s="78">
        <v>-0.68110000000000004</v>
      </c>
      <c r="Q37" s="79">
        <v>-0.68110000000000004</v>
      </c>
      <c r="S37" s="77">
        <v>-0.68110000000000004</v>
      </c>
      <c r="T37" s="78">
        <v>-0.68110000000000004</v>
      </c>
      <c r="U37" s="78">
        <v>-0.68110000000000004</v>
      </c>
      <c r="V37" s="79">
        <v>-0.68110000000000004</v>
      </c>
    </row>
    <row r="38" spans="2:22" ht="15" customHeight="1" thickTop="1" x14ac:dyDescent="0.2">
      <c r="B38" s="387" t="s">
        <v>26</v>
      </c>
      <c r="C38" s="100" t="s">
        <v>27</v>
      </c>
      <c r="D38" s="41">
        <v>8</v>
      </c>
      <c r="E38" s="41">
        <v>8</v>
      </c>
      <c r="F38" s="41">
        <v>8</v>
      </c>
      <c r="G38" s="42">
        <v>8</v>
      </c>
      <c r="I38" s="40">
        <v>8</v>
      </c>
      <c r="J38" s="41">
        <v>8</v>
      </c>
      <c r="K38" s="41">
        <v>8</v>
      </c>
      <c r="L38" s="42">
        <v>8</v>
      </c>
      <c r="N38" s="40">
        <v>8</v>
      </c>
      <c r="O38" s="41">
        <v>8</v>
      </c>
      <c r="P38" s="41">
        <v>8</v>
      </c>
      <c r="Q38" s="42">
        <v>8</v>
      </c>
      <c r="S38" s="40">
        <v>8</v>
      </c>
      <c r="T38" s="41">
        <v>8</v>
      </c>
      <c r="U38" s="41">
        <v>8</v>
      </c>
      <c r="V38" s="42">
        <v>8</v>
      </c>
    </row>
    <row r="39" spans="2:22" x14ac:dyDescent="0.2">
      <c r="B39" s="388"/>
      <c r="C39" s="29" t="s">
        <v>28</v>
      </c>
      <c r="D39" s="30">
        <v>4</v>
      </c>
      <c r="E39" s="30">
        <v>4</v>
      </c>
      <c r="F39" s="30">
        <v>4</v>
      </c>
      <c r="G39" s="31">
        <v>4</v>
      </c>
      <c r="I39" s="32">
        <v>4</v>
      </c>
      <c r="J39" s="30">
        <v>4</v>
      </c>
      <c r="K39" s="30">
        <v>4</v>
      </c>
      <c r="L39" s="31">
        <v>4</v>
      </c>
      <c r="N39" s="32">
        <v>4</v>
      </c>
      <c r="O39" s="30">
        <v>4</v>
      </c>
      <c r="P39" s="30">
        <v>4</v>
      </c>
      <c r="Q39" s="31">
        <v>4</v>
      </c>
      <c r="S39" s="32">
        <v>4</v>
      </c>
      <c r="T39" s="30">
        <v>4</v>
      </c>
      <c r="U39" s="30">
        <v>4</v>
      </c>
      <c r="V39" s="31">
        <v>4</v>
      </c>
    </row>
    <row r="40" spans="2:22" x14ac:dyDescent="0.2">
      <c r="B40" s="388"/>
      <c r="C40" s="43" t="s">
        <v>29</v>
      </c>
      <c r="D40" s="44">
        <v>7.3000000000000001E-3</v>
      </c>
      <c r="E40" s="44">
        <v>6.7000000000000002E-3</v>
      </c>
      <c r="F40" s="44">
        <v>6.4999999999999997E-3</v>
      </c>
      <c r="G40" s="45">
        <v>4.7999999999999996E-3</v>
      </c>
      <c r="I40" s="46">
        <v>7.3000000000000001E-3</v>
      </c>
      <c r="J40" s="44">
        <v>6.7000000000000002E-3</v>
      </c>
      <c r="K40" s="44">
        <v>6.4999999999999997E-3</v>
      </c>
      <c r="L40" s="45">
        <v>4.7999999999999996E-3</v>
      </c>
      <c r="N40" s="46">
        <v>7.3000000000000001E-3</v>
      </c>
      <c r="O40" s="44">
        <v>6.7000000000000002E-3</v>
      </c>
      <c r="P40" s="44">
        <v>6.4999999999999997E-3</v>
      </c>
      <c r="Q40" s="45">
        <v>4.7999999999999996E-3</v>
      </c>
      <c r="S40" s="46">
        <v>7.3000000000000001E-3</v>
      </c>
      <c r="T40" s="44">
        <v>6.7000000000000002E-3</v>
      </c>
      <c r="U40" s="44">
        <v>6.4999999999999997E-3</v>
      </c>
      <c r="V40" s="45">
        <v>4.7999999999999996E-3</v>
      </c>
    </row>
    <row r="41" spans="2:22" x14ac:dyDescent="0.2">
      <c r="B41" s="388"/>
      <c r="C41" s="29" t="s">
        <v>30</v>
      </c>
      <c r="D41" s="30">
        <v>0.51600000000000001</v>
      </c>
      <c r="E41" s="30">
        <v>0.51600000000000001</v>
      </c>
      <c r="F41" s="30">
        <v>0.51600000000000001</v>
      </c>
      <c r="G41" s="31">
        <v>0.51600000000000001</v>
      </c>
      <c r="I41" s="32">
        <v>0.51600000000000001</v>
      </c>
      <c r="J41" s="30">
        <v>0.51600000000000001</v>
      </c>
      <c r="K41" s="30">
        <v>0.51600000000000001</v>
      </c>
      <c r="L41" s="31">
        <v>0.51600000000000001</v>
      </c>
      <c r="N41" s="32">
        <v>0.51600000000000001</v>
      </c>
      <c r="O41" s="30">
        <v>0.51600000000000001</v>
      </c>
      <c r="P41" s="30">
        <v>0.51600000000000001</v>
      </c>
      <c r="Q41" s="31">
        <v>0.51600000000000001</v>
      </c>
      <c r="S41" s="32">
        <v>0.51600000000000001</v>
      </c>
      <c r="T41" s="30">
        <v>0.51600000000000001</v>
      </c>
      <c r="U41" s="30">
        <v>0.51600000000000001</v>
      </c>
      <c r="V41" s="31">
        <v>0.51600000000000001</v>
      </c>
    </row>
    <row r="42" spans="2:22" ht="15" thickBot="1" x14ac:dyDescent="0.25">
      <c r="B42" s="389"/>
      <c r="C42" s="33" t="s">
        <v>31</v>
      </c>
      <c r="D42" s="34">
        <v>0.7</v>
      </c>
      <c r="E42" s="34">
        <v>0.7</v>
      </c>
      <c r="F42" s="34">
        <v>0.7</v>
      </c>
      <c r="G42" s="35">
        <v>0.7</v>
      </c>
      <c r="I42" s="36">
        <v>0.7</v>
      </c>
      <c r="J42" s="34">
        <v>0.7</v>
      </c>
      <c r="K42" s="34">
        <v>0.7</v>
      </c>
      <c r="L42" s="35">
        <v>0.7</v>
      </c>
      <c r="N42" s="36">
        <v>0.7</v>
      </c>
      <c r="O42" s="34">
        <v>0.7</v>
      </c>
      <c r="P42" s="34">
        <v>0.7</v>
      </c>
      <c r="Q42" s="35">
        <v>0.7</v>
      </c>
      <c r="S42" s="36">
        <v>0.7</v>
      </c>
      <c r="T42" s="34">
        <v>0.7</v>
      </c>
      <c r="U42" s="34">
        <v>0.7</v>
      </c>
      <c r="V42" s="35">
        <v>0.7</v>
      </c>
    </row>
    <row r="43" spans="2:22" ht="15" customHeight="1" thickTop="1" x14ac:dyDescent="0.2">
      <c r="B43" s="390" t="s">
        <v>70</v>
      </c>
      <c r="C43" s="80" t="s">
        <v>71</v>
      </c>
      <c r="D43" s="101">
        <v>0.1</v>
      </c>
      <c r="E43" s="101">
        <v>0.1</v>
      </c>
      <c r="F43" s="101">
        <v>0.1</v>
      </c>
      <c r="G43" s="102">
        <v>0.1</v>
      </c>
      <c r="H43" s="90"/>
      <c r="I43" s="103">
        <v>0.05</v>
      </c>
      <c r="J43" s="104">
        <v>0.05</v>
      </c>
      <c r="K43" s="104">
        <v>0.05</v>
      </c>
      <c r="L43" s="105">
        <v>0.05</v>
      </c>
      <c r="N43" s="103">
        <v>0.4</v>
      </c>
      <c r="O43" s="104">
        <v>0.4</v>
      </c>
      <c r="P43" s="104">
        <v>0.4</v>
      </c>
      <c r="Q43" s="105">
        <v>0.4</v>
      </c>
      <c r="S43" s="103">
        <v>0.4</v>
      </c>
      <c r="T43" s="104">
        <v>0.4</v>
      </c>
      <c r="U43" s="104">
        <v>0.4</v>
      </c>
      <c r="V43" s="105">
        <v>0.4</v>
      </c>
    </row>
    <row r="44" spans="2:22" x14ac:dyDescent="0.2">
      <c r="B44" s="391"/>
      <c r="C44" s="87" t="s">
        <v>72</v>
      </c>
      <c r="D44" s="88">
        <v>0.95</v>
      </c>
      <c r="E44" s="88">
        <v>0.95</v>
      </c>
      <c r="F44" s="88">
        <v>0.95</v>
      </c>
      <c r="G44" s="89">
        <v>0.95</v>
      </c>
      <c r="H44" s="90"/>
      <c r="I44" s="71">
        <v>0.81</v>
      </c>
      <c r="J44" s="72">
        <v>0.85</v>
      </c>
      <c r="K44" s="72">
        <v>0.89</v>
      </c>
      <c r="L44" s="73">
        <v>1</v>
      </c>
      <c r="N44" s="106">
        <v>0.8</v>
      </c>
      <c r="O44" s="107">
        <v>0.8</v>
      </c>
      <c r="P44" s="107">
        <v>0.8</v>
      </c>
      <c r="Q44" s="108">
        <v>0.8</v>
      </c>
      <c r="S44" s="106">
        <v>0.8</v>
      </c>
      <c r="T44" s="107">
        <v>0.8</v>
      </c>
      <c r="U44" s="107">
        <v>0.8</v>
      </c>
      <c r="V44" s="108">
        <v>0.8</v>
      </c>
    </row>
    <row r="45" spans="2:22" x14ac:dyDescent="0.2">
      <c r="B45" s="391"/>
      <c r="C45" s="87" t="s">
        <v>73</v>
      </c>
      <c r="D45" s="88">
        <v>0</v>
      </c>
      <c r="E45" s="88">
        <v>0</v>
      </c>
      <c r="F45" s="88">
        <v>0</v>
      </c>
      <c r="G45" s="89">
        <v>0</v>
      </c>
      <c r="H45" s="90"/>
      <c r="I45" s="106">
        <v>0</v>
      </c>
      <c r="J45" s="107">
        <v>0</v>
      </c>
      <c r="K45" s="107">
        <v>0</v>
      </c>
      <c r="L45" s="108">
        <v>0</v>
      </c>
      <c r="N45" s="106">
        <v>0</v>
      </c>
      <c r="O45" s="107">
        <v>0</v>
      </c>
      <c r="P45" s="107">
        <v>0</v>
      </c>
      <c r="Q45" s="108">
        <v>0</v>
      </c>
      <c r="S45" s="106">
        <v>0</v>
      </c>
      <c r="T45" s="107">
        <v>0</v>
      </c>
      <c r="U45" s="107">
        <v>0</v>
      </c>
      <c r="V45" s="108">
        <v>0</v>
      </c>
    </row>
    <row r="46" spans="2:22" x14ac:dyDescent="0.2">
      <c r="B46" s="391"/>
      <c r="C46" s="87" t="s">
        <v>74</v>
      </c>
      <c r="D46" s="88">
        <v>0</v>
      </c>
      <c r="E46" s="88">
        <v>0</v>
      </c>
      <c r="F46" s="88">
        <v>0</v>
      </c>
      <c r="G46" s="89">
        <v>0</v>
      </c>
      <c r="H46" s="90"/>
      <c r="I46" s="106">
        <v>0</v>
      </c>
      <c r="J46" s="107">
        <v>0</v>
      </c>
      <c r="K46" s="107">
        <v>0</v>
      </c>
      <c r="L46" s="108">
        <v>0</v>
      </c>
      <c r="N46" s="106">
        <v>0</v>
      </c>
      <c r="O46" s="107">
        <v>0</v>
      </c>
      <c r="P46" s="107">
        <v>0</v>
      </c>
      <c r="Q46" s="108">
        <v>0</v>
      </c>
      <c r="S46" s="106">
        <v>0</v>
      </c>
      <c r="T46" s="107">
        <v>0</v>
      </c>
      <c r="U46" s="107">
        <v>0</v>
      </c>
      <c r="V46" s="108">
        <v>0</v>
      </c>
    </row>
    <row r="47" spans="2:22" x14ac:dyDescent="0.2">
      <c r="B47" s="391"/>
      <c r="C47" s="87" t="s">
        <v>75</v>
      </c>
      <c r="D47" s="63">
        <v>60</v>
      </c>
      <c r="E47" s="63">
        <v>60</v>
      </c>
      <c r="F47" s="63">
        <v>60</v>
      </c>
      <c r="G47" s="64">
        <v>60</v>
      </c>
      <c r="H47" s="83"/>
      <c r="I47" s="56">
        <v>60</v>
      </c>
      <c r="J47" s="57">
        <v>60</v>
      </c>
      <c r="K47" s="57">
        <v>60</v>
      </c>
      <c r="L47" s="58">
        <v>60</v>
      </c>
      <c r="N47" s="56">
        <v>60</v>
      </c>
      <c r="O47" s="57">
        <v>60</v>
      </c>
      <c r="P47" s="57">
        <v>60</v>
      </c>
      <c r="Q47" s="58">
        <v>60</v>
      </c>
      <c r="S47" s="56">
        <v>60</v>
      </c>
      <c r="T47" s="57">
        <v>60</v>
      </c>
      <c r="U47" s="57">
        <v>60</v>
      </c>
      <c r="V47" s="58">
        <v>60</v>
      </c>
    </row>
    <row r="48" spans="2:22" x14ac:dyDescent="0.2">
      <c r="B48" s="391"/>
      <c r="C48" s="87" t="s">
        <v>76</v>
      </c>
      <c r="D48" s="63">
        <v>0.2</v>
      </c>
      <c r="E48" s="63">
        <v>0.2</v>
      </c>
      <c r="F48" s="63">
        <v>0.2</v>
      </c>
      <c r="G48" s="64">
        <v>0.2</v>
      </c>
      <c r="H48" s="83"/>
      <c r="I48" s="56">
        <v>0.2</v>
      </c>
      <c r="J48" s="57">
        <v>0.2</v>
      </c>
      <c r="K48" s="57">
        <v>0.2</v>
      </c>
      <c r="L48" s="58">
        <v>0.2</v>
      </c>
      <c r="N48" s="56">
        <v>0.2</v>
      </c>
      <c r="O48" s="57">
        <v>0.2</v>
      </c>
      <c r="P48" s="57">
        <v>0.2</v>
      </c>
      <c r="Q48" s="58">
        <v>0.2</v>
      </c>
      <c r="S48" s="56">
        <v>0.2</v>
      </c>
      <c r="T48" s="57">
        <v>0.2</v>
      </c>
      <c r="U48" s="57">
        <v>0.2</v>
      </c>
      <c r="V48" s="58">
        <v>0.2</v>
      </c>
    </row>
    <row r="49" spans="2:26" x14ac:dyDescent="0.2">
      <c r="B49" s="391"/>
      <c r="C49" s="87" t="s">
        <v>77</v>
      </c>
      <c r="D49" s="94">
        <v>0</v>
      </c>
      <c r="E49" s="94">
        <v>0</v>
      </c>
      <c r="F49" s="94">
        <v>0</v>
      </c>
      <c r="G49" s="95">
        <v>0</v>
      </c>
      <c r="H49" s="96"/>
      <c r="I49" s="97">
        <v>0</v>
      </c>
      <c r="J49" s="98">
        <v>0</v>
      </c>
      <c r="K49" s="98">
        <v>0</v>
      </c>
      <c r="L49" s="99">
        <v>0</v>
      </c>
      <c r="N49" s="97">
        <v>0</v>
      </c>
      <c r="O49" s="98">
        <v>0</v>
      </c>
      <c r="P49" s="98">
        <v>0</v>
      </c>
      <c r="Q49" s="99">
        <v>0</v>
      </c>
      <c r="S49" s="97">
        <v>0</v>
      </c>
      <c r="T49" s="98">
        <v>0</v>
      </c>
      <c r="U49" s="98">
        <v>0</v>
      </c>
      <c r="V49" s="99">
        <v>0</v>
      </c>
    </row>
    <row r="50" spans="2:26" ht="15" customHeight="1" x14ac:dyDescent="0.2">
      <c r="B50" s="391"/>
      <c r="C50" s="87" t="s">
        <v>78</v>
      </c>
      <c r="D50" s="63">
        <v>55</v>
      </c>
      <c r="E50" s="63">
        <v>55</v>
      </c>
      <c r="F50" s="63">
        <v>55</v>
      </c>
      <c r="G50" s="64">
        <v>55</v>
      </c>
      <c r="H50" s="83"/>
      <c r="I50" s="56">
        <v>55</v>
      </c>
      <c r="J50" s="57">
        <v>55</v>
      </c>
      <c r="K50" s="57">
        <v>55</v>
      </c>
      <c r="L50" s="58">
        <v>55</v>
      </c>
      <c r="N50" s="56">
        <v>55</v>
      </c>
      <c r="O50" s="57">
        <v>55</v>
      </c>
      <c r="P50" s="57">
        <v>55</v>
      </c>
      <c r="Q50" s="58">
        <v>55</v>
      </c>
      <c r="S50" s="56">
        <v>1</v>
      </c>
      <c r="T50" s="57">
        <v>1</v>
      </c>
      <c r="U50" s="57">
        <v>1</v>
      </c>
      <c r="V50" s="58">
        <v>1</v>
      </c>
    </row>
    <row r="51" spans="2:26" ht="15" thickBot="1" x14ac:dyDescent="0.25">
      <c r="B51" s="392"/>
      <c r="C51" s="91" t="s">
        <v>79</v>
      </c>
      <c r="D51" s="92">
        <v>100</v>
      </c>
      <c r="E51" s="92">
        <v>100</v>
      </c>
      <c r="F51" s="92">
        <v>100</v>
      </c>
      <c r="G51" s="93">
        <v>100</v>
      </c>
      <c r="H51" s="83"/>
      <c r="I51" s="77">
        <v>100</v>
      </c>
      <c r="J51" s="78">
        <v>100</v>
      </c>
      <c r="K51" s="78">
        <v>100</v>
      </c>
      <c r="L51" s="79">
        <v>100</v>
      </c>
      <c r="N51" s="77">
        <v>100</v>
      </c>
      <c r="O51" s="78">
        <v>100</v>
      </c>
      <c r="P51" s="78">
        <v>100</v>
      </c>
      <c r="Q51" s="79">
        <v>100</v>
      </c>
      <c r="S51" s="77">
        <v>100</v>
      </c>
      <c r="T51" s="78">
        <v>100</v>
      </c>
      <c r="U51" s="78">
        <v>100</v>
      </c>
      <c r="V51" s="79">
        <v>100</v>
      </c>
    </row>
    <row r="52" spans="2:26" ht="15" customHeight="1" thickTop="1" x14ac:dyDescent="0.2">
      <c r="B52" s="387" t="s">
        <v>32</v>
      </c>
      <c r="C52" s="100" t="s">
        <v>33</v>
      </c>
      <c r="D52" s="109">
        <v>1</v>
      </c>
      <c r="E52" s="109">
        <v>1</v>
      </c>
      <c r="F52" s="109">
        <v>1</v>
      </c>
      <c r="G52" s="110">
        <v>1</v>
      </c>
      <c r="H52" s="67"/>
      <c r="I52" s="111">
        <v>1</v>
      </c>
      <c r="J52" s="112">
        <v>1</v>
      </c>
      <c r="K52" s="112">
        <v>1</v>
      </c>
      <c r="L52" s="113">
        <v>1</v>
      </c>
      <c r="N52" s="111">
        <v>1</v>
      </c>
      <c r="O52" s="112">
        <v>1</v>
      </c>
      <c r="P52" s="112">
        <v>1</v>
      </c>
      <c r="Q52" s="113">
        <v>1</v>
      </c>
      <c r="S52" s="111">
        <v>1</v>
      </c>
      <c r="T52" s="112">
        <v>1</v>
      </c>
      <c r="U52" s="112">
        <v>1</v>
      </c>
      <c r="V52" s="113">
        <v>1</v>
      </c>
    </row>
    <row r="53" spans="2:26" x14ac:dyDescent="0.2">
      <c r="B53" s="388"/>
      <c r="C53" s="29" t="s">
        <v>34</v>
      </c>
      <c r="D53" s="114" t="s">
        <v>112</v>
      </c>
      <c r="E53" s="114" t="s">
        <v>112</v>
      </c>
      <c r="F53" s="114" t="s">
        <v>112</v>
      </c>
      <c r="G53" s="115" t="s">
        <v>112</v>
      </c>
      <c r="H53" s="67"/>
      <c r="I53" s="116">
        <v>0.86</v>
      </c>
      <c r="J53" s="65">
        <v>0.88</v>
      </c>
      <c r="K53" s="65">
        <v>0.9</v>
      </c>
      <c r="L53" s="66">
        <v>0.96</v>
      </c>
      <c r="N53" s="117" t="s">
        <v>112</v>
      </c>
      <c r="O53" s="114" t="s">
        <v>112</v>
      </c>
      <c r="P53" s="114" t="s">
        <v>112</v>
      </c>
      <c r="Q53" s="115" t="s">
        <v>112</v>
      </c>
      <c r="S53" s="117" t="s">
        <v>112</v>
      </c>
      <c r="T53" s="114" t="s">
        <v>112</v>
      </c>
      <c r="U53" s="114" t="s">
        <v>112</v>
      </c>
      <c r="V53" s="115" t="s">
        <v>112</v>
      </c>
    </row>
    <row r="54" spans="2:26" x14ac:dyDescent="0.2">
      <c r="B54" s="388"/>
      <c r="C54" s="29" t="s">
        <v>35</v>
      </c>
      <c r="D54" s="60">
        <v>2.5</v>
      </c>
      <c r="E54" s="60">
        <v>2.1</v>
      </c>
      <c r="F54" s="60">
        <v>1.8</v>
      </c>
      <c r="G54" s="61">
        <v>1.5</v>
      </c>
      <c r="I54" s="59">
        <v>2.5</v>
      </c>
      <c r="J54" s="60">
        <v>2.1</v>
      </c>
      <c r="K54" s="60">
        <v>1.8</v>
      </c>
      <c r="L54" s="61">
        <v>1.5</v>
      </c>
      <c r="N54" s="59">
        <v>2.5</v>
      </c>
      <c r="O54" s="60">
        <v>2.1</v>
      </c>
      <c r="P54" s="60">
        <v>1.8</v>
      </c>
      <c r="Q54" s="61">
        <v>1.5</v>
      </c>
      <c r="S54" s="59">
        <v>2.5</v>
      </c>
      <c r="T54" s="60">
        <v>2.1</v>
      </c>
      <c r="U54" s="60">
        <v>1.8</v>
      </c>
      <c r="V54" s="61">
        <v>1.5</v>
      </c>
    </row>
    <row r="55" spans="2:26" x14ac:dyDescent="0.2">
      <c r="B55" s="388"/>
      <c r="C55" s="29" t="s">
        <v>36</v>
      </c>
      <c r="D55" s="30" t="b">
        <v>0</v>
      </c>
      <c r="E55" s="30" t="b">
        <v>0</v>
      </c>
      <c r="F55" s="30" t="b">
        <v>0</v>
      </c>
      <c r="G55" s="31" t="b">
        <v>0</v>
      </c>
      <c r="I55" s="32" t="b">
        <v>0</v>
      </c>
      <c r="J55" s="30" t="b">
        <v>0</v>
      </c>
      <c r="K55" s="30" t="b">
        <v>0</v>
      </c>
      <c r="L55" s="31" t="b">
        <v>0</v>
      </c>
      <c r="N55" s="32" t="b">
        <v>0</v>
      </c>
      <c r="O55" s="30" t="b">
        <v>0</v>
      </c>
      <c r="P55" s="30" t="b">
        <v>0</v>
      </c>
      <c r="Q55" s="31" t="b">
        <v>0</v>
      </c>
      <c r="S55" s="32" t="b">
        <v>0</v>
      </c>
      <c r="T55" s="30" t="b">
        <v>0</v>
      </c>
      <c r="U55" s="30" t="b">
        <v>0</v>
      </c>
      <c r="V55" s="31" t="b">
        <v>0</v>
      </c>
    </row>
    <row r="56" spans="2:26" x14ac:dyDescent="0.2">
      <c r="B56" s="388"/>
      <c r="C56" s="29" t="s">
        <v>37</v>
      </c>
      <c r="D56" s="30">
        <v>300</v>
      </c>
      <c r="E56" s="30">
        <v>300</v>
      </c>
      <c r="F56" s="30">
        <v>300</v>
      </c>
      <c r="G56" s="31">
        <v>300</v>
      </c>
      <c r="I56" s="56">
        <v>300</v>
      </c>
      <c r="J56" s="57">
        <v>300</v>
      </c>
      <c r="K56" s="57">
        <v>300</v>
      </c>
      <c r="L56" s="58">
        <v>300</v>
      </c>
      <c r="N56" s="56">
        <v>300</v>
      </c>
      <c r="O56" s="57">
        <v>300</v>
      </c>
      <c r="P56" s="57">
        <v>300</v>
      </c>
      <c r="Q56" s="58">
        <v>300</v>
      </c>
      <c r="S56" s="56">
        <v>300</v>
      </c>
      <c r="T56" s="57">
        <v>300</v>
      </c>
      <c r="U56" s="57">
        <v>300</v>
      </c>
      <c r="V56" s="58">
        <v>300</v>
      </c>
    </row>
    <row r="57" spans="2:26" x14ac:dyDescent="0.2">
      <c r="B57" s="388"/>
      <c r="C57" s="29" t="s">
        <v>38</v>
      </c>
      <c r="D57" s="118">
        <v>0.97</v>
      </c>
      <c r="E57" s="119">
        <v>0.97499999999999998</v>
      </c>
      <c r="F57" s="119">
        <v>0.98</v>
      </c>
      <c r="G57" s="120">
        <v>0.98499999999999999</v>
      </c>
      <c r="H57" s="67"/>
      <c r="I57" s="121">
        <v>0.97</v>
      </c>
      <c r="J57" s="119">
        <v>0.97499999999999998</v>
      </c>
      <c r="K57" s="119">
        <v>0.98</v>
      </c>
      <c r="L57" s="120">
        <v>0.98499999999999999</v>
      </c>
      <c r="N57" s="121">
        <v>0.97</v>
      </c>
      <c r="O57" s="119">
        <v>0.97499999999999998</v>
      </c>
      <c r="P57" s="119">
        <v>0.98</v>
      </c>
      <c r="Q57" s="120">
        <v>0.98499999999999999</v>
      </c>
      <c r="S57" s="121">
        <v>0.97</v>
      </c>
      <c r="T57" s="119">
        <v>0.97499999999999998</v>
      </c>
      <c r="U57" s="119">
        <v>0.98</v>
      </c>
      <c r="V57" s="120">
        <v>0.98499999999999999</v>
      </c>
    </row>
    <row r="58" spans="2:26" x14ac:dyDescent="0.2">
      <c r="B58" s="388"/>
      <c r="C58" s="29" t="s">
        <v>39</v>
      </c>
      <c r="D58" s="30">
        <v>1.2</v>
      </c>
      <c r="E58" s="30">
        <v>1.2</v>
      </c>
      <c r="F58" s="30">
        <v>1.2</v>
      </c>
      <c r="G58" s="31">
        <v>1.2</v>
      </c>
      <c r="I58" s="32">
        <v>1.2</v>
      </c>
      <c r="J58" s="30">
        <v>1.2</v>
      </c>
      <c r="K58" s="30">
        <v>1.2</v>
      </c>
      <c r="L58" s="31">
        <v>1.2</v>
      </c>
      <c r="N58" s="32">
        <v>1.2</v>
      </c>
      <c r="O58" s="30">
        <v>1.2</v>
      </c>
      <c r="P58" s="30">
        <v>1.2</v>
      </c>
      <c r="Q58" s="31">
        <v>1.2</v>
      </c>
      <c r="S58" s="32">
        <v>1.2</v>
      </c>
      <c r="T58" s="30">
        <v>1.2</v>
      </c>
      <c r="U58" s="30">
        <v>1.2</v>
      </c>
      <c r="V58" s="31">
        <v>1.2</v>
      </c>
    </row>
    <row r="59" spans="2:26" x14ac:dyDescent="0.2">
      <c r="B59" s="388"/>
      <c r="C59" s="29" t="s">
        <v>40</v>
      </c>
      <c r="D59" s="122">
        <v>5.0000000000000001E-3</v>
      </c>
      <c r="E59" s="122">
        <v>5.0000000000000001E-3</v>
      </c>
      <c r="F59" s="122">
        <v>5.0000000000000001E-3</v>
      </c>
      <c r="G59" s="123">
        <v>5.0000000000000001E-3</v>
      </c>
      <c r="H59" s="124"/>
      <c r="I59" s="125">
        <v>5.0000000000000001E-3</v>
      </c>
      <c r="J59" s="122">
        <v>5.0000000000000001E-3</v>
      </c>
      <c r="K59" s="122">
        <v>5.0000000000000001E-3</v>
      </c>
      <c r="L59" s="123">
        <v>5.0000000000000001E-3</v>
      </c>
      <c r="N59" s="125">
        <v>5.0000000000000001E-3</v>
      </c>
      <c r="O59" s="122">
        <v>5.0000000000000001E-3</v>
      </c>
      <c r="P59" s="122">
        <v>5.0000000000000001E-3</v>
      </c>
      <c r="Q59" s="123">
        <v>5.0000000000000001E-3</v>
      </c>
      <c r="S59" s="125">
        <v>5.0000000000000001E-3</v>
      </c>
      <c r="T59" s="122">
        <v>5.0000000000000001E-3</v>
      </c>
      <c r="U59" s="122">
        <v>5.0000000000000001E-3</v>
      </c>
      <c r="V59" s="123">
        <v>5.0000000000000001E-3</v>
      </c>
    </row>
    <row r="60" spans="2:26" ht="15" thickBot="1" x14ac:dyDescent="0.25">
      <c r="B60" s="393"/>
      <c r="C60" s="126" t="s">
        <v>41</v>
      </c>
      <c r="D60" s="127">
        <v>0.9</v>
      </c>
      <c r="E60" s="127">
        <v>0.9</v>
      </c>
      <c r="F60" s="127">
        <v>0.9</v>
      </c>
      <c r="G60" s="128">
        <v>0.9</v>
      </c>
      <c r="H60" s="67"/>
      <c r="I60" s="129">
        <v>0.9</v>
      </c>
      <c r="J60" s="127">
        <v>0.9</v>
      </c>
      <c r="K60" s="127">
        <v>0.9</v>
      </c>
      <c r="L60" s="128">
        <v>0.9</v>
      </c>
      <c r="N60" s="129">
        <v>0.9</v>
      </c>
      <c r="O60" s="127">
        <v>0.9</v>
      </c>
      <c r="P60" s="127">
        <v>0.9</v>
      </c>
      <c r="Q60" s="128">
        <v>0.9</v>
      </c>
      <c r="S60" s="130">
        <v>0.9</v>
      </c>
      <c r="T60" s="127">
        <v>0.9</v>
      </c>
      <c r="U60" s="127">
        <v>0.9</v>
      </c>
      <c r="V60" s="128">
        <v>0.9</v>
      </c>
    </row>
    <row r="61" spans="2:26" x14ac:dyDescent="0.2">
      <c r="E61" s="131"/>
      <c r="F61" s="131"/>
      <c r="G61" s="131"/>
      <c r="J61" s="132"/>
      <c r="P61" s="132"/>
      <c r="S61" s="131"/>
    </row>
    <row r="62" spans="2:26" x14ac:dyDescent="0.2">
      <c r="D62" s="131"/>
      <c r="E62" s="131"/>
      <c r="F62" s="131"/>
      <c r="G62" s="131"/>
      <c r="I62" s="131"/>
      <c r="J62" s="132"/>
      <c r="K62" s="132"/>
      <c r="L62" s="132"/>
      <c r="N62" s="131"/>
      <c r="P62" s="132"/>
      <c r="Q62" s="132"/>
      <c r="S62" s="131"/>
      <c r="T62" s="132"/>
      <c r="U62" s="132"/>
      <c r="V62" s="132"/>
      <c r="X62" s="22" t="s">
        <v>241</v>
      </c>
    </row>
    <row r="63" spans="2:26" ht="15" thickBot="1" x14ac:dyDescent="0.25">
      <c r="B63" s="133"/>
      <c r="D63" s="131"/>
      <c r="E63" s="131"/>
      <c r="F63" s="131"/>
      <c r="G63" s="131"/>
      <c r="I63" s="131"/>
      <c r="J63" s="132"/>
      <c r="K63" s="132"/>
      <c r="L63" s="132"/>
      <c r="N63" s="131"/>
      <c r="O63" s="132"/>
      <c r="P63" s="132"/>
      <c r="Q63" s="132"/>
      <c r="S63" s="131"/>
      <c r="T63" s="132"/>
      <c r="U63" s="132"/>
      <c r="V63" s="132"/>
      <c r="X63" s="22" t="s">
        <v>231</v>
      </c>
      <c r="Y63" s="22" t="s">
        <v>232</v>
      </c>
      <c r="Z63" s="22" t="s">
        <v>233</v>
      </c>
    </row>
    <row r="64" spans="2:26" ht="14.5" customHeight="1" x14ac:dyDescent="0.2">
      <c r="B64" s="384" t="s">
        <v>85</v>
      </c>
      <c r="C64" s="134" t="s">
        <v>81</v>
      </c>
      <c r="D64" s="135">
        <v>9.3795799999999989</v>
      </c>
      <c r="E64" s="135">
        <v>11.350079999999998</v>
      </c>
      <c r="F64" s="135">
        <v>12.577419999999998</v>
      </c>
      <c r="G64" s="136">
        <v>17.914659999999998</v>
      </c>
      <c r="I64" s="137">
        <v>1.7982</v>
      </c>
      <c r="J64" s="138">
        <v>1.5623</v>
      </c>
      <c r="K64" s="138">
        <v>1.4320999999999999</v>
      </c>
      <c r="L64" s="139">
        <v>1.0418000000000001</v>
      </c>
      <c r="N64" s="137">
        <v>9.3458000000000006</v>
      </c>
      <c r="O64" s="138">
        <v>11.32756</v>
      </c>
      <c r="P64" s="138">
        <v>12.577419999999998</v>
      </c>
      <c r="Q64" s="139">
        <v>18.106079999999995</v>
      </c>
      <c r="S64" s="137">
        <v>13.29806</v>
      </c>
      <c r="T64" s="138">
        <v>15.809039999999998</v>
      </c>
      <c r="U64" s="138">
        <v>17.464259999999999</v>
      </c>
      <c r="V64" s="139">
        <v>25.672799999999999</v>
      </c>
      <c r="X64" s="225">
        <f>INDEX(Constant!$Q$5:$S$7,MATCH($C64,Constant!$M$5:$M$7,0),MATCH(X$63,Constant!$Q$4:$S$4,0))</f>
        <v>0.56000000000000005</v>
      </c>
      <c r="Y64" s="225">
        <f>INDEX(Constant!$Q$5:$S$7,MATCH($C64,Constant!$M$5:$M$7,0),MATCH(Y$63,Constant!$Q$4:$S$4,0))</f>
        <v>0.17</v>
      </c>
      <c r="Z64" s="225">
        <f>INDEX(Constant!$Q$5:$S$7,MATCH($C64,Constant!$M$5:$M$7,0),MATCH(Z$63,Constant!$Q$4:$S$4,0))</f>
        <v>0</v>
      </c>
    </row>
    <row r="65" spans="2:26" x14ac:dyDescent="0.2">
      <c r="B65" s="385"/>
      <c r="C65" s="140" t="s">
        <v>82</v>
      </c>
      <c r="D65" s="141">
        <v>11.69914</v>
      </c>
      <c r="E65" s="141">
        <v>14.063739999999999</v>
      </c>
      <c r="F65" s="141">
        <v>15.5388</v>
      </c>
      <c r="G65" s="142">
        <v>21.652979999999999</v>
      </c>
      <c r="I65" s="143">
        <v>1.4178999999999999</v>
      </c>
      <c r="J65" s="144">
        <v>1.2341</v>
      </c>
      <c r="K65" s="144">
        <v>1.1312</v>
      </c>
      <c r="L65" s="145">
        <v>0.82869999999999999</v>
      </c>
      <c r="N65" s="143">
        <v>11.552759999999999</v>
      </c>
      <c r="O65" s="144">
        <v>14.018699999999997</v>
      </c>
      <c r="P65" s="144">
        <v>15.516279999999998</v>
      </c>
      <c r="Q65" s="145">
        <v>22.339839999999999</v>
      </c>
      <c r="S65" s="143">
        <v>17.194019999999998</v>
      </c>
      <c r="T65" s="144">
        <v>20.279260000000001</v>
      </c>
      <c r="U65" s="144">
        <v>22.294799999999999</v>
      </c>
      <c r="V65" s="145">
        <v>32.473839999999996</v>
      </c>
      <c r="X65" s="225">
        <f>INDEX(Constant!$Q$5:$S$7,MATCH($C65,Constant!$M$5:$M$7,0),MATCH(X$63,Constant!$Q$4:$S$4,0))</f>
        <v>0.24</v>
      </c>
      <c r="Y65" s="225">
        <f>INDEX(Constant!$Q$5:$S$7,MATCH($C65,Constant!$M$5:$M$7,0),MATCH(Y$63,Constant!$Q$4:$S$4,0))</f>
        <v>0.28999999999999998</v>
      </c>
      <c r="Z65" s="225">
        <f>INDEX(Constant!$Q$5:$S$7,MATCH($C65,Constant!$M$5:$M$7,0),MATCH(Z$63,Constant!$Q$4:$S$4,0))</f>
        <v>0.08</v>
      </c>
    </row>
    <row r="66" spans="2:26" x14ac:dyDescent="0.2">
      <c r="B66" s="385"/>
      <c r="C66" s="140" t="s">
        <v>83</v>
      </c>
      <c r="D66" s="141">
        <v>8.974219999999999</v>
      </c>
      <c r="E66" s="141">
        <v>10.460539999999998</v>
      </c>
      <c r="F66" s="141">
        <v>11.440159999999999</v>
      </c>
      <c r="G66" s="142">
        <v>14.097519999999998</v>
      </c>
      <c r="I66" s="143">
        <v>1.081</v>
      </c>
      <c r="J66" s="144">
        <v>0.94789999999999996</v>
      </c>
      <c r="K66" s="144">
        <v>0.84489999999999998</v>
      </c>
      <c r="L66" s="145">
        <v>0.63819999999999999</v>
      </c>
      <c r="N66" s="143">
        <v>12.340959999999999</v>
      </c>
      <c r="O66" s="144">
        <v>14.480359999999997</v>
      </c>
      <c r="P66" s="144">
        <v>16.608499999999999</v>
      </c>
      <c r="Q66" s="145">
        <v>21.821879999999997</v>
      </c>
      <c r="S66" s="143">
        <v>22.215979999999998</v>
      </c>
      <c r="T66" s="144">
        <v>25.729099999999999</v>
      </c>
      <c r="U66" s="144">
        <v>28.499059999999997</v>
      </c>
      <c r="V66" s="145">
        <v>39.511339999999997</v>
      </c>
      <c r="X66" s="225">
        <f>INDEX(Constant!$Q$5:$S$7,MATCH($C66,Constant!$M$5:$M$7,0),MATCH(X$63,Constant!$Q$4:$S$4,0))</f>
        <v>0.2</v>
      </c>
      <c r="Y66" s="225">
        <f>INDEX(Constant!$Q$5:$S$7,MATCH($C66,Constant!$M$5:$M$7,0),MATCH(Y$63,Constant!$Q$4:$S$4,0))</f>
        <v>0.54</v>
      </c>
      <c r="Z66" s="225">
        <f>INDEX(Constant!$Q$5:$S$7,MATCH($C66,Constant!$M$5:$M$7,0),MATCH(Z$63,Constant!$Q$4:$S$4,0))</f>
        <v>0.92</v>
      </c>
    </row>
    <row r="67" spans="2:26" ht="15" thickBot="1" x14ac:dyDescent="0.25">
      <c r="B67" s="385"/>
      <c r="C67" s="146" t="s">
        <v>84</v>
      </c>
      <c r="D67" s="147" t="s">
        <v>209</v>
      </c>
      <c r="E67" s="147" t="s">
        <v>209</v>
      </c>
      <c r="F67" s="147" t="s">
        <v>209</v>
      </c>
      <c r="G67" s="148" t="s">
        <v>209</v>
      </c>
      <c r="I67" s="149" t="s">
        <v>209</v>
      </c>
      <c r="J67" s="147" t="s">
        <v>209</v>
      </c>
      <c r="K67" s="147" t="s">
        <v>209</v>
      </c>
      <c r="L67" s="148" t="s">
        <v>209</v>
      </c>
      <c r="N67" s="149" t="s">
        <v>209</v>
      </c>
      <c r="O67" s="147" t="s">
        <v>209</v>
      </c>
      <c r="P67" s="147" t="s">
        <v>209</v>
      </c>
      <c r="Q67" s="148" t="s">
        <v>209</v>
      </c>
      <c r="S67" s="149" t="s">
        <v>209</v>
      </c>
      <c r="T67" s="147" t="s">
        <v>209</v>
      </c>
      <c r="U67" s="147" t="s">
        <v>209</v>
      </c>
      <c r="V67" s="148" t="s">
        <v>209</v>
      </c>
      <c r="X67" s="225">
        <f>SUM(X64:X66)</f>
        <v>1</v>
      </c>
      <c r="Y67" s="225">
        <f>SUM(Y64:Y66)</f>
        <v>1</v>
      </c>
      <c r="Z67" s="225">
        <f>SUM(Z64:Z66)</f>
        <v>1</v>
      </c>
    </row>
    <row r="68" spans="2:26" s="186" customFormat="1" ht="16" thickTop="1" thickBot="1" x14ac:dyDescent="0.25">
      <c r="B68" s="385"/>
      <c r="C68" s="190" t="s">
        <v>87</v>
      </c>
      <c r="D68" s="182">
        <v>72485</v>
      </c>
      <c r="E68" s="182">
        <v>72485</v>
      </c>
      <c r="F68" s="182">
        <v>72485</v>
      </c>
      <c r="G68" s="183">
        <v>72485</v>
      </c>
      <c r="H68" s="184"/>
      <c r="I68" s="185">
        <v>208909</v>
      </c>
      <c r="J68" s="182">
        <v>156435</v>
      </c>
      <c r="K68" s="182">
        <v>119044</v>
      </c>
      <c r="L68" s="183">
        <v>79668</v>
      </c>
      <c r="N68" s="185">
        <v>81903</v>
      </c>
      <c r="O68" s="187">
        <v>78571</v>
      </c>
      <c r="P68" s="187">
        <v>75975</v>
      </c>
      <c r="Q68" s="188">
        <v>72595</v>
      </c>
      <c r="S68" s="189">
        <v>138016</v>
      </c>
      <c r="T68" s="187">
        <v>116648</v>
      </c>
      <c r="U68" s="187">
        <v>109838</v>
      </c>
      <c r="V68" s="188">
        <v>86741</v>
      </c>
    </row>
    <row r="69" spans="2:26" ht="16" thickTop="1" thickBot="1" x14ac:dyDescent="0.25">
      <c r="B69" s="385"/>
      <c r="C69" s="151" t="s">
        <v>111</v>
      </c>
      <c r="D69" s="152">
        <v>11404</v>
      </c>
      <c r="E69" s="152">
        <v>11391</v>
      </c>
      <c r="F69" s="152">
        <v>11391</v>
      </c>
      <c r="G69" s="153">
        <v>11391</v>
      </c>
      <c r="I69" s="154">
        <v>11700</v>
      </c>
      <c r="J69" s="155">
        <v>11366</v>
      </c>
      <c r="K69" s="155">
        <v>11093</v>
      </c>
      <c r="L69" s="156">
        <v>10658</v>
      </c>
      <c r="N69" s="157">
        <v>11437</v>
      </c>
      <c r="O69" s="152">
        <v>11393</v>
      </c>
      <c r="P69" s="152">
        <v>11368</v>
      </c>
      <c r="Q69" s="158">
        <v>11331</v>
      </c>
      <c r="S69" s="157">
        <v>10711</v>
      </c>
      <c r="T69" s="152">
        <v>10632</v>
      </c>
      <c r="U69" s="152">
        <v>10606</v>
      </c>
      <c r="V69" s="158">
        <v>10492</v>
      </c>
    </row>
    <row r="70" spans="2:26" ht="15" thickTop="1" x14ac:dyDescent="0.2">
      <c r="B70" s="385"/>
      <c r="C70" s="159" t="s">
        <v>104</v>
      </c>
      <c r="D70" s="160">
        <f>82.5*D64</f>
        <v>773.81534999999997</v>
      </c>
      <c r="E70" s="160">
        <f t="shared" ref="E70:G70" si="0">82.5*E64</f>
        <v>936.38159999999982</v>
      </c>
      <c r="F70" s="160">
        <f t="shared" si="0"/>
        <v>1037.6371499999998</v>
      </c>
      <c r="G70" s="161">
        <f t="shared" si="0"/>
        <v>1477.9594499999998</v>
      </c>
      <c r="I70" s="162">
        <f>$I$32*($I$44-$I$43)/I64</f>
        <v>124.97186074963852</v>
      </c>
      <c r="J70" s="160">
        <f>$J$32*($J$44-$J$43)/J64</f>
        <v>136.10190104333356</v>
      </c>
      <c r="K70" s="160">
        <f>$K$32*($K$44-$K$43)/K64</f>
        <v>142.13309126457651</v>
      </c>
      <c r="L70" s="161">
        <f>$L$32*($L$44-$L$43)/L64</f>
        <v>171.5617200998272</v>
      </c>
      <c r="M70" s="24"/>
      <c r="N70" s="163">
        <f>82.5*N64</f>
        <v>771.02850000000001</v>
      </c>
      <c r="O70" s="164">
        <f t="shared" ref="O70:Q70" si="1">82.5*O64</f>
        <v>934.52369999999996</v>
      </c>
      <c r="P70" s="164">
        <f t="shared" si="1"/>
        <v>1037.6371499999998</v>
      </c>
      <c r="Q70" s="165">
        <f t="shared" si="1"/>
        <v>1493.7515999999996</v>
      </c>
      <c r="S70" s="162">
        <f>$S$18/8.7*S64</f>
        <v>528.65138294252881</v>
      </c>
      <c r="T70" s="160">
        <f>$T$18/8.7*T64</f>
        <v>576.19407972413785</v>
      </c>
      <c r="U70" s="160">
        <f>$U$18/8.7*U64</f>
        <v>631.72443931034491</v>
      </c>
      <c r="V70" s="161">
        <f>$V$18/8.7*V64</f>
        <v>747.04897103448275</v>
      </c>
      <c r="X70" s="22">
        <v>65</v>
      </c>
      <c r="Y70" s="22" t="s">
        <v>279</v>
      </c>
    </row>
    <row r="71" spans="2:26" x14ac:dyDescent="0.2">
      <c r="B71" s="385"/>
      <c r="C71" s="140" t="s">
        <v>105</v>
      </c>
      <c r="D71" s="160">
        <f t="shared" ref="D71:G72" si="2">82.5*D65</f>
        <v>965.17904999999996</v>
      </c>
      <c r="E71" s="160">
        <f t="shared" si="2"/>
        <v>1160.25855</v>
      </c>
      <c r="F71" s="160">
        <f t="shared" si="2"/>
        <v>1281.951</v>
      </c>
      <c r="G71" s="161">
        <f t="shared" si="2"/>
        <v>1786.37085</v>
      </c>
      <c r="I71" s="166">
        <f>$I$32*($I$44-$I$43)/I65</f>
        <v>158.49100782847876</v>
      </c>
      <c r="J71" s="167">
        <f t="shared" ref="J71:J72" si="3">$J$32*($J$44-$J$43)/J65</f>
        <v>172.29722064662508</v>
      </c>
      <c r="K71" s="167">
        <f t="shared" ref="K71:K72" si="4">$K$32*($K$44-$K$43)/K65</f>
        <v>179.94059405940595</v>
      </c>
      <c r="L71" s="168">
        <f t="shared" ref="L71:L72" si="5">$L$32*($L$44-$L$43)/L65</f>
        <v>215.67877398334738</v>
      </c>
      <c r="M71" s="24"/>
      <c r="N71" s="163">
        <f t="shared" ref="N71:Q72" si="6">82.5*N65</f>
        <v>953.10269999999991</v>
      </c>
      <c r="O71" s="169">
        <f t="shared" si="6"/>
        <v>1156.5427499999998</v>
      </c>
      <c r="P71" s="169">
        <f t="shared" si="6"/>
        <v>1280.0930999999998</v>
      </c>
      <c r="Q71" s="161">
        <f t="shared" si="6"/>
        <v>1843.0367999999999</v>
      </c>
      <c r="S71" s="166">
        <f>$S$18/8.7*S65</f>
        <v>683.53146634482766</v>
      </c>
      <c r="T71" s="167">
        <f>$T$18/8.7*T65</f>
        <v>739.12075326436786</v>
      </c>
      <c r="U71" s="167">
        <f t="shared" ref="U71:U72" si="7">$U$18/8.7*U65</f>
        <v>806.4567310344828</v>
      </c>
      <c r="V71" s="168">
        <f t="shared" ref="V71:V72" si="8">$V$18/8.7*V65</f>
        <v>944.95141774712636</v>
      </c>
      <c r="X71" s="22">
        <v>55</v>
      </c>
      <c r="Y71" s="22" t="s">
        <v>279</v>
      </c>
    </row>
    <row r="72" spans="2:26" x14ac:dyDescent="0.2">
      <c r="B72" s="385"/>
      <c r="C72" s="140" t="s">
        <v>106</v>
      </c>
      <c r="D72" s="160">
        <f t="shared" si="2"/>
        <v>740.3731499999999</v>
      </c>
      <c r="E72" s="160">
        <f t="shared" si="2"/>
        <v>862.99454999999989</v>
      </c>
      <c r="F72" s="160">
        <f t="shared" si="2"/>
        <v>943.81319999999994</v>
      </c>
      <c r="G72" s="161">
        <f t="shared" si="2"/>
        <v>1163.0453999999997</v>
      </c>
      <c r="I72" s="166">
        <f t="shared" ref="I72" si="9">$I$32*($I$44-$I$43)/I66</f>
        <v>207.88566142460687</v>
      </c>
      <c r="J72" s="167">
        <f t="shared" si="3"/>
        <v>224.31902099377572</v>
      </c>
      <c r="K72" s="167">
        <f t="shared" si="4"/>
        <v>240.91466445733224</v>
      </c>
      <c r="L72" s="168">
        <f t="shared" si="5"/>
        <v>280.0579755562519</v>
      </c>
      <c r="N72" s="163">
        <f t="shared" si="6"/>
        <v>1018.1292</v>
      </c>
      <c r="O72" s="169">
        <f t="shared" si="6"/>
        <v>1194.6296999999997</v>
      </c>
      <c r="P72" s="169">
        <f t="shared" si="6"/>
        <v>1370.2012499999998</v>
      </c>
      <c r="Q72" s="161">
        <f t="shared" si="6"/>
        <v>1800.3050999999998</v>
      </c>
      <c r="S72" s="166">
        <f t="shared" ref="S72" si="10">$S$18/8.7*S66</f>
        <v>883.17457963218396</v>
      </c>
      <c r="T72" s="167">
        <f t="shared" ref="T72" si="11">$T$18/8.7*T66</f>
        <v>937.75176080459767</v>
      </c>
      <c r="U72" s="167">
        <f t="shared" si="7"/>
        <v>1030.8797910344827</v>
      </c>
      <c r="V72" s="168">
        <f t="shared" si="8"/>
        <v>1149.7345786666667</v>
      </c>
      <c r="X72" s="22">
        <v>15.3</v>
      </c>
      <c r="Y72" s="22" t="s">
        <v>279</v>
      </c>
    </row>
    <row r="73" spans="2:26" ht="15" thickBot="1" x14ac:dyDescent="0.25">
      <c r="B73" s="386"/>
      <c r="C73" s="170" t="s">
        <v>107</v>
      </c>
      <c r="D73" s="171" t="s">
        <v>209</v>
      </c>
      <c r="E73" s="171" t="s">
        <v>209</v>
      </c>
      <c r="F73" s="171" t="s">
        <v>209</v>
      </c>
      <c r="G73" s="172" t="s">
        <v>209</v>
      </c>
      <c r="I73" s="277">
        <f>I32*(I44-I43)*I78/dge2kWh</f>
        <v>177.9239457077002</v>
      </c>
      <c r="J73" s="278">
        <f>J32*(J44-J43)*J78/dge2kWh</f>
        <v>192.62973457469693</v>
      </c>
      <c r="K73" s="278">
        <f>K32*(K44-K43)*K78/dge2kWh</f>
        <v>204.58842300865123</v>
      </c>
      <c r="L73" s="279">
        <f>L32*(L44-L43)*L78/dge2kWh</f>
        <v>241.09728119846181</v>
      </c>
      <c r="N73" s="173" t="s">
        <v>209</v>
      </c>
      <c r="O73" s="171" t="s">
        <v>209</v>
      </c>
      <c r="P73" s="171" t="s">
        <v>209</v>
      </c>
      <c r="Q73" s="172" t="s">
        <v>209</v>
      </c>
      <c r="S73" s="173" t="s">
        <v>209</v>
      </c>
      <c r="T73" s="171" t="s">
        <v>209</v>
      </c>
      <c r="U73" s="171" t="s">
        <v>209</v>
      </c>
      <c r="V73" s="172" t="s">
        <v>209</v>
      </c>
      <c r="X73" s="22" t="s">
        <v>240</v>
      </c>
    </row>
    <row r="74" spans="2:26" ht="12.75" customHeight="1" x14ac:dyDescent="0.2">
      <c r="B74" s="397" t="s">
        <v>227</v>
      </c>
      <c r="C74" s="176" t="s">
        <v>231</v>
      </c>
      <c r="D74" s="223">
        <f>D98</f>
        <v>8.8554412791350714</v>
      </c>
      <c r="E74" s="223">
        <f t="shared" ref="E74:V74" si="12">E98</f>
        <v>10.82240131497557</v>
      </c>
      <c r="F74" s="223">
        <f t="shared" si="12"/>
        <v>11.858294650613898</v>
      </c>
      <c r="G74" s="223">
        <f t="shared" si="12"/>
        <v>15.770986581643896</v>
      </c>
      <c r="I74" s="223">
        <f t="shared" si="12"/>
        <v>24.33363540010825</v>
      </c>
      <c r="J74" s="223">
        <f t="shared" si="12"/>
        <v>27.961114924642335</v>
      </c>
      <c r="K74" s="223">
        <f t="shared" si="12"/>
        <v>30.621377659230074</v>
      </c>
      <c r="L74" s="223">
        <f t="shared" si="12"/>
        <v>41.811014120162788</v>
      </c>
      <c r="N74" s="223">
        <f t="shared" si="12"/>
        <v>10.319873216951352</v>
      </c>
      <c r="O74" s="223">
        <f t="shared" si="12"/>
        <v>12.442647249727536</v>
      </c>
      <c r="P74" s="223">
        <f t="shared" si="12"/>
        <v>13.882355246117926</v>
      </c>
      <c r="Q74" s="223">
        <f t="shared" si="12"/>
        <v>19.670677816150686</v>
      </c>
      <c r="S74" s="223">
        <f t="shared" si="12"/>
        <v>15.367527671577536</v>
      </c>
      <c r="T74" s="223">
        <f t="shared" si="12"/>
        <v>18.17163492006388</v>
      </c>
      <c r="U74" s="223">
        <f t="shared" si="12"/>
        <v>20.060943447091475</v>
      </c>
      <c r="V74" s="223">
        <f t="shared" si="12"/>
        <v>29.18398240827565</v>
      </c>
      <c r="X74" s="225">
        <f>INDEX(Constant!$Q$12:$S$12,MATCH($C74,Constant!$Q$11:$S$11,0))</f>
        <v>0.27027027027027029</v>
      </c>
      <c r="Y74" s="225"/>
      <c r="Z74" s="225"/>
    </row>
    <row r="75" spans="2:26" x14ac:dyDescent="0.2">
      <c r="B75" s="398"/>
      <c r="C75" s="176" t="s">
        <v>232</v>
      </c>
      <c r="D75" s="223">
        <f t="shared" ref="D75:V76" si="13">D99</f>
        <v>6.888697455228999</v>
      </c>
      <c r="E75" s="223">
        <f t="shared" si="13"/>
        <v>8.4919828620561688</v>
      </c>
      <c r="F75" s="223">
        <f t="shared" si="13"/>
        <v>9.0976360585921281</v>
      </c>
      <c r="G75" s="223">
        <f t="shared" si="13"/>
        <v>10.902224288338362</v>
      </c>
      <c r="I75" s="223">
        <f t="shared" si="13"/>
        <v>29.251588232153342</v>
      </c>
      <c r="J75" s="223">
        <f t="shared" si="13"/>
        <v>33.509914109394352</v>
      </c>
      <c r="K75" s="223">
        <f t="shared" si="13"/>
        <v>37.018058794829145</v>
      </c>
      <c r="L75" s="223">
        <f t="shared" si="13"/>
        <v>49.924542316971625</v>
      </c>
      <c r="N75" s="223">
        <f t="shared" si="13"/>
        <v>11.487790488215053</v>
      </c>
      <c r="O75" s="223">
        <f t="shared" si="13"/>
        <v>13.701222134425786</v>
      </c>
      <c r="P75" s="223">
        <f t="shared" si="13"/>
        <v>15.451220988512569</v>
      </c>
      <c r="Q75" s="223">
        <f t="shared" si="13"/>
        <v>21.224118217200878</v>
      </c>
      <c r="S75" s="223">
        <f t="shared" si="13"/>
        <v>18.53328457318791</v>
      </c>
      <c r="T75" s="223">
        <f t="shared" si="13"/>
        <v>21.719500573480008</v>
      </c>
      <c r="U75" s="223">
        <f t="shared" si="13"/>
        <v>23.986753661360851</v>
      </c>
      <c r="V75" s="223">
        <f t="shared" si="13"/>
        <v>34.224280545776509</v>
      </c>
      <c r="X75" s="225">
        <f>INDEX(Constant!$Q$12:$S$12,MATCH($C75,Constant!$Q$11:$S$11,0))</f>
        <v>0.29729729729729731</v>
      </c>
    </row>
    <row r="76" spans="2:26" x14ac:dyDescent="0.2">
      <c r="B76" s="398"/>
      <c r="C76" s="176" t="s">
        <v>233</v>
      </c>
      <c r="D76" s="223">
        <f t="shared" si="13"/>
        <v>6.0914372968734538</v>
      </c>
      <c r="E76" s="223">
        <f t="shared" si="13"/>
        <v>7.5088775094784967</v>
      </c>
      <c r="F76" s="223">
        <f t="shared" si="13"/>
        <v>7.993311315747536</v>
      </c>
      <c r="G76" s="223">
        <f t="shared" si="13"/>
        <v>9.217262121061971</v>
      </c>
      <c r="I76" s="223">
        <f t="shared" si="13"/>
        <v>34.338443312024751</v>
      </c>
      <c r="J76" s="223">
        <f t="shared" si="13"/>
        <v>39.189847243338917</v>
      </c>
      <c r="K76" s="223">
        <f t="shared" si="13"/>
        <v>43.8409444349697</v>
      </c>
      <c r="L76" s="223">
        <f t="shared" si="13"/>
        <v>58.223168071199261</v>
      </c>
      <c r="N76" s="223">
        <f t="shared" si="13"/>
        <v>12.273967584335013</v>
      </c>
      <c r="O76" s="223">
        <f t="shared" si="13"/>
        <v>14.44231118018393</v>
      </c>
      <c r="P76" s="223">
        <f t="shared" si="13"/>
        <v>16.515495468190739</v>
      </c>
      <c r="Q76" s="223">
        <f t="shared" si="13"/>
        <v>21.862431283832912</v>
      </c>
      <c r="S76" s="223">
        <f t="shared" si="13"/>
        <v>21.708732088463407</v>
      </c>
      <c r="T76" s="223">
        <f t="shared" si="13"/>
        <v>25.187587839453823</v>
      </c>
      <c r="U76" s="223">
        <f t="shared" si="13"/>
        <v>27.878413303821979</v>
      </c>
      <c r="V76" s="223">
        <f t="shared" si="13"/>
        <v>38.838004280845254</v>
      </c>
      <c r="X76" s="225">
        <f>INDEX(Constant!$Q$12:$S$12,MATCH($C76,Constant!$Q$11:$S$11,0))</f>
        <v>0.43243243243243246</v>
      </c>
    </row>
    <row r="77" spans="2:26" x14ac:dyDescent="0.2">
      <c r="B77" s="264"/>
      <c r="C77" s="176"/>
      <c r="D77" s="223"/>
      <c r="E77" s="223"/>
      <c r="F77" s="223"/>
      <c r="G77" s="223"/>
      <c r="I77" s="223" t="s">
        <v>288</v>
      </c>
      <c r="J77" s="223"/>
      <c r="K77" s="223"/>
      <c r="L77" s="223"/>
      <c r="N77" s="223"/>
      <c r="O77" s="223"/>
      <c r="P77" s="223"/>
      <c r="Q77" s="223"/>
      <c r="S77" s="223"/>
      <c r="T77" s="223"/>
      <c r="U77" s="223"/>
      <c r="V77" s="223"/>
      <c r="X77" s="225"/>
    </row>
    <row r="78" spans="2:26" x14ac:dyDescent="0.2">
      <c r="B78" s="222"/>
      <c r="C78" s="265" t="s">
        <v>287</v>
      </c>
      <c r="D78" s="266">
        <f t="array" ref="D78">1/SUM(($X$74:$X$76)/(D$74:D$76))</f>
        <v>6.9123920432119421</v>
      </c>
      <c r="E78" s="266">
        <f t="array" ref="E78">1/SUM(($X$74:$X$76)/(E$74:E$76))</f>
        <v>8.5054344553108958</v>
      </c>
      <c r="F78" s="266">
        <f t="array" ref="F78">1/SUM(($X$74:$X$76)/(F$74:F$76))</f>
        <v>9.1266297549527291</v>
      </c>
      <c r="G78" s="266">
        <f t="array" ref="G78">1/SUM(($X$74:$X$76)/(G$74:G$76))</f>
        <v>10.950252414096488</v>
      </c>
      <c r="H78" s="267"/>
      <c r="I78" s="269">
        <f>SUMPRODUCT($X$74:$X$76,I$74:I$76)</f>
        <v>30.122132906680143</v>
      </c>
      <c r="J78" s="269">
        <f t="shared" ref="J78:L78" si="14">SUMPRODUCT($X$74:$X$76,J$74:J$76)</f>
        <v>34.466425955221183</v>
      </c>
      <c r="K78" s="269">
        <f t="shared" si="14"/>
        <v>38.239663089052343</v>
      </c>
      <c r="L78" s="269">
        <f t="shared" si="14"/>
        <v>51.320291779121732</v>
      </c>
      <c r="M78" s="268"/>
      <c r="N78" s="269">
        <f t="array" ref="N78">1/SUM(($X$74:$X$76)/(N$74:N$76))</f>
        <v>11.454702414309697</v>
      </c>
      <c r="O78" s="269">
        <f t="array" ref="O78">1/SUM(($X$74:$X$76)/(O$74:O$76))</f>
        <v>13.631047656578266</v>
      </c>
      <c r="P78" s="269">
        <f t="array" ref="P78">1/SUM(($X$74:$X$76)/(P$74:P$76))</f>
        <v>15.409964136435006</v>
      </c>
      <c r="Q78" s="269">
        <f t="array" ref="Q78">1/SUM(($X$74:$X$76)/(Q$74:Q$76))</f>
        <v>21.040680415449192</v>
      </c>
      <c r="R78" s="266"/>
      <c r="S78" s="269">
        <f t="array" ref="S78">1/SUM(($X$74:$X$76)/(S$74:S$76))</f>
        <v>18.674795077480706</v>
      </c>
      <c r="T78" s="269">
        <f t="array" ref="T78">1/SUM(($X$74:$X$76)/(T$74:T$76))</f>
        <v>21.867624563655806</v>
      </c>
      <c r="U78" s="269">
        <f t="array" ref="U78">1/SUM(($X$74:$X$76)/(U$74:U$76))</f>
        <v>24.167396636934214</v>
      </c>
      <c r="V78" s="270">
        <f t="array" ref="V78">1/SUM(($X$74:$X$76)/(V$74:V$76))</f>
        <v>34.385640162913219</v>
      </c>
      <c r="X78" s="225">
        <f>SUM(X74:X76)</f>
        <v>1</v>
      </c>
    </row>
    <row r="79" spans="2:26" x14ac:dyDescent="0.2">
      <c r="B79" s="175"/>
      <c r="C79" s="22" t="s">
        <v>214</v>
      </c>
      <c r="D79" s="184">
        <v>0</v>
      </c>
      <c r="E79" s="184">
        <v>0</v>
      </c>
      <c r="F79" s="184">
        <v>0</v>
      </c>
      <c r="G79" s="184">
        <v>0</v>
      </c>
      <c r="H79" s="22"/>
      <c r="I79" s="184">
        <v>0</v>
      </c>
      <c r="J79" s="184">
        <v>0</v>
      </c>
      <c r="K79" s="184">
        <v>0</v>
      </c>
      <c r="L79" s="184">
        <v>0</v>
      </c>
      <c r="N79" s="184">
        <v>0</v>
      </c>
      <c r="O79" s="184">
        <v>0</v>
      </c>
      <c r="P79" s="184">
        <v>0</v>
      </c>
      <c r="Q79" s="184">
        <v>0</v>
      </c>
      <c r="S79" s="184">
        <v>0</v>
      </c>
      <c r="T79" s="184">
        <v>0</v>
      </c>
      <c r="U79" s="184">
        <v>0</v>
      </c>
      <c r="V79" s="184">
        <v>0</v>
      </c>
    </row>
    <row r="80" spans="2:26" x14ac:dyDescent="0.2">
      <c r="B80" s="175"/>
      <c r="C80" s="22" t="s">
        <v>215</v>
      </c>
      <c r="D80" s="184">
        <v>0</v>
      </c>
      <c r="E80" s="184">
        <v>0</v>
      </c>
      <c r="F80" s="184">
        <v>0</v>
      </c>
      <c r="G80" s="184">
        <v>0</v>
      </c>
      <c r="H80" s="22"/>
      <c r="I80" s="184">
        <v>0</v>
      </c>
      <c r="J80" s="184">
        <v>0</v>
      </c>
      <c r="K80" s="184">
        <v>0</v>
      </c>
      <c r="L80" s="184">
        <v>0</v>
      </c>
      <c r="N80" s="184">
        <v>0</v>
      </c>
      <c r="O80" s="184">
        <v>0</v>
      </c>
      <c r="P80" s="184">
        <v>0</v>
      </c>
      <c r="Q80" s="184">
        <v>0</v>
      </c>
      <c r="S80" s="184">
        <v>0</v>
      </c>
      <c r="T80" s="184">
        <v>0</v>
      </c>
      <c r="U80" s="184">
        <v>0</v>
      </c>
      <c r="V80" s="184">
        <v>0</v>
      </c>
    </row>
    <row r="81" spans="2:27" x14ac:dyDescent="0.2">
      <c r="B81" s="175"/>
      <c r="C81" s="22" t="s">
        <v>216</v>
      </c>
      <c r="D81" s="184">
        <v>0</v>
      </c>
      <c r="E81" s="184">
        <v>0</v>
      </c>
      <c r="F81" s="184">
        <v>0</v>
      </c>
      <c r="G81" s="184">
        <v>0</v>
      </c>
      <c r="H81" s="22"/>
      <c r="I81" s="184">
        <v>0</v>
      </c>
      <c r="J81" s="184">
        <v>0</v>
      </c>
      <c r="K81" s="184">
        <v>0</v>
      </c>
      <c r="L81" s="184">
        <v>0</v>
      </c>
      <c r="N81" s="184">
        <v>0</v>
      </c>
      <c r="O81" s="184">
        <v>0</v>
      </c>
      <c r="P81" s="184">
        <v>0</v>
      </c>
      <c r="Q81" s="184">
        <v>0</v>
      </c>
      <c r="S81" s="184">
        <v>0</v>
      </c>
      <c r="T81" s="184">
        <v>0</v>
      </c>
      <c r="U81" s="184">
        <v>0</v>
      </c>
      <c r="V81" s="184">
        <v>0</v>
      </c>
    </row>
    <row r="82" spans="2:27" x14ac:dyDescent="0.2">
      <c r="B82" s="22"/>
      <c r="C82" s="22" t="s">
        <v>217</v>
      </c>
      <c r="D82" s="184">
        <v>0</v>
      </c>
      <c r="E82" s="184">
        <v>1115</v>
      </c>
      <c r="F82" s="184">
        <v>1330</v>
      </c>
      <c r="G82" s="184">
        <v>1535</v>
      </c>
      <c r="I82" s="184">
        <v>0</v>
      </c>
      <c r="J82" s="184">
        <v>0</v>
      </c>
      <c r="K82" s="184">
        <v>0</v>
      </c>
      <c r="L82" s="184">
        <v>0</v>
      </c>
      <c r="N82" s="184">
        <v>0</v>
      </c>
      <c r="O82" s="184">
        <v>1115</v>
      </c>
      <c r="P82" s="184">
        <v>1330</v>
      </c>
      <c r="Q82" s="184">
        <v>1535</v>
      </c>
      <c r="S82" s="184">
        <v>0</v>
      </c>
      <c r="T82" s="184">
        <v>0</v>
      </c>
      <c r="U82" s="184">
        <v>0</v>
      </c>
      <c r="V82" s="184">
        <v>0</v>
      </c>
    </row>
    <row r="83" spans="2:27" x14ac:dyDescent="0.2">
      <c r="C83" s="271" t="s">
        <v>213</v>
      </c>
      <c r="D83" s="272">
        <f>D68+SUM(D79:D82)</f>
        <v>72485</v>
      </c>
      <c r="E83" s="272">
        <f t="shared" ref="E83:G83" si="15">E68+SUM(E79:E82)</f>
        <v>73600</v>
      </c>
      <c r="F83" s="272">
        <f t="shared" si="15"/>
        <v>73815</v>
      </c>
      <c r="G83" s="272">
        <f t="shared" si="15"/>
        <v>74020</v>
      </c>
      <c r="H83" s="267"/>
      <c r="I83" s="272">
        <f t="shared" ref="I83:L83" si="16">I68+SUM(I79:I82)</f>
        <v>208909</v>
      </c>
      <c r="J83" s="272">
        <f t="shared" si="16"/>
        <v>156435</v>
      </c>
      <c r="K83" s="272">
        <f t="shared" si="16"/>
        <v>119044</v>
      </c>
      <c r="L83" s="272">
        <f t="shared" si="16"/>
        <v>79668</v>
      </c>
      <c r="M83" s="268"/>
      <c r="N83" s="272">
        <f t="shared" ref="N83:Q83" si="17">N68+SUM(N79:N82)</f>
        <v>81903</v>
      </c>
      <c r="O83" s="272">
        <f t="shared" si="17"/>
        <v>79686</v>
      </c>
      <c r="P83" s="272">
        <f t="shared" si="17"/>
        <v>77305</v>
      </c>
      <c r="Q83" s="272">
        <f t="shared" si="17"/>
        <v>74130</v>
      </c>
      <c r="R83" s="268"/>
      <c r="S83" s="272">
        <f t="shared" ref="S83:V83" si="18">S68+SUM(S79:S82)</f>
        <v>138016</v>
      </c>
      <c r="T83" s="272">
        <f t="shared" si="18"/>
        <v>116648</v>
      </c>
      <c r="U83" s="272">
        <f t="shared" si="18"/>
        <v>109838</v>
      </c>
      <c r="V83" s="273">
        <f t="shared" si="18"/>
        <v>86741</v>
      </c>
    </row>
    <row r="84" spans="2:27" x14ac:dyDescent="0.2">
      <c r="D84" s="181">
        <f>D78/D85-1</f>
        <v>2.6775083697716529E-2</v>
      </c>
      <c r="E84" s="181">
        <f>E78/E85-1</f>
        <v>0.12456134468107827</v>
      </c>
    </row>
    <row r="85" spans="2:27" x14ac:dyDescent="0.2">
      <c r="C85" s="22" t="s">
        <v>295</v>
      </c>
      <c r="D85" s="24">
        <v>6.7321384721553654</v>
      </c>
      <c r="E85" s="24">
        <v>7.563335246707247</v>
      </c>
    </row>
    <row r="86" spans="2:27" x14ac:dyDescent="0.2">
      <c r="B86" s="133"/>
      <c r="C86" s="176" t="s">
        <v>260</v>
      </c>
      <c r="D86" s="22">
        <v>7.7686363370817517</v>
      </c>
      <c r="E86" s="22">
        <v>8.3388091513427138</v>
      </c>
      <c r="I86" s="22"/>
      <c r="L86" s="24"/>
      <c r="N86" s="22"/>
    </row>
    <row r="87" spans="2:27" x14ac:dyDescent="0.2">
      <c r="B87" s="176"/>
      <c r="C87" s="256" t="s">
        <v>259</v>
      </c>
      <c r="D87" s="22">
        <v>6.8598472833358404</v>
      </c>
      <c r="E87" s="22">
        <v>7.7355553974064231</v>
      </c>
      <c r="I87" s="22"/>
      <c r="L87" s="24"/>
      <c r="N87" s="22"/>
    </row>
    <row r="88" spans="2:27" x14ac:dyDescent="0.2">
      <c r="B88" s="176"/>
      <c r="C88" s="176" t="s">
        <v>258</v>
      </c>
      <c r="D88" s="22">
        <v>6.1414136649893241</v>
      </c>
      <c r="E88" s="22">
        <v>7.0459610860024382</v>
      </c>
      <c r="I88" s="22"/>
      <c r="L88" s="24"/>
      <c r="N88" s="22"/>
    </row>
    <row r="89" spans="2:27" x14ac:dyDescent="0.2">
      <c r="B89" s="176"/>
      <c r="I89" s="22"/>
      <c r="L89" s="24"/>
      <c r="N89" s="22"/>
    </row>
    <row r="90" spans="2:27" x14ac:dyDescent="0.2">
      <c r="B90" s="22"/>
    </row>
    <row r="91" spans="2:27" x14ac:dyDescent="0.2">
      <c r="B91" s="22"/>
    </row>
    <row r="92" spans="2:27" x14ac:dyDescent="0.2">
      <c r="B92" s="22"/>
      <c r="Y92" s="22" t="s">
        <v>283</v>
      </c>
    </row>
    <row r="93" spans="2:27" ht="15" thickBot="1" x14ac:dyDescent="0.25">
      <c r="B93" s="22"/>
      <c r="C93" s="22" t="s">
        <v>277</v>
      </c>
      <c r="X93" s="22" t="s">
        <v>284</v>
      </c>
      <c r="Y93" s="22" t="s">
        <v>280</v>
      </c>
      <c r="Z93" s="22" t="s">
        <v>281</v>
      </c>
      <c r="AA93" s="22" t="s">
        <v>282</v>
      </c>
    </row>
    <row r="94" spans="2:27" x14ac:dyDescent="0.2">
      <c r="B94" s="397" t="s">
        <v>227</v>
      </c>
      <c r="C94" s="176" t="s">
        <v>231</v>
      </c>
      <c r="D94" s="223">
        <f t="array" ref="D94">1/SUM(($X$64:$X$66)/(D$64:D$66))</f>
        <v>9.7556641560242916</v>
      </c>
      <c r="E94" s="223">
        <f t="array" ref="E94">1/SUM(($X$64:$X$66)/(E$64:E$66))</f>
        <v>11.692693604946875</v>
      </c>
      <c r="F94" s="223">
        <f t="array" ref="F94">1/SUM(($X$64:$X$66)/(F$64:F$66))</f>
        <v>12.911269810867863</v>
      </c>
      <c r="G94" s="223">
        <f t="array" ref="G94">1/SUM(($X$64:$X$66)/(G$64:G$66))</f>
        <v>17.689680918250374</v>
      </c>
      <c r="I94" s="223">
        <f>dge2kWh/SUMPRODUCT($X$64:$X$66,I$64:I$66)</f>
        <v>24.33363540010825</v>
      </c>
      <c r="J94" s="223">
        <f>dge2kWh/SUMPRODUCT($X$64:$X$66,J$64:J$66)</f>
        <v>27.961114924642335</v>
      </c>
      <c r="K94" s="223">
        <f>dge2kWh/SUMPRODUCT($X$64:$X$66,K$64:K$66)</f>
        <v>30.621377659230074</v>
      </c>
      <c r="L94" s="223">
        <f>dge2kWh/SUMPRODUCT($X$64:$X$66,L$64:L$66)</f>
        <v>41.811014120162788</v>
      </c>
      <c r="N94" s="223">
        <f t="array" ref="N94">1/SUM(($X$64:$X$66)/(N$64:N$66))</f>
        <v>10.319873216951352</v>
      </c>
      <c r="O94" s="223">
        <f t="array" ref="O94">1/SUM(($X$64:$X$66)/(O$64:O$66))</f>
        <v>12.442647249727536</v>
      </c>
      <c r="P94" s="223">
        <f t="array" ref="P94">1/SUM(($X$64:$X$66)/(P$64:P$66))</f>
        <v>13.882355246117926</v>
      </c>
      <c r="Q94" s="223">
        <f t="array" ref="Q94">1/SUM(($X$64:$X$66)/(Q$64:Q$66))</f>
        <v>19.670677816150686</v>
      </c>
      <c r="S94" s="223">
        <f t="array" ref="S94">1/SUM(($X$64:$X$66)/(S$64:S$66))</f>
        <v>15.367527671577536</v>
      </c>
      <c r="T94" s="223">
        <f t="array" ref="T94">1/SUM(($X$64:$X$66)/(T$64:T$66))</f>
        <v>18.17163492006388</v>
      </c>
      <c r="U94" s="223">
        <f t="array" ref="U94">1/SUM(($X$64:$X$66)/(U$64:U$66))</f>
        <v>20.060943447091475</v>
      </c>
      <c r="V94" s="223">
        <f t="array" ref="V94">1/SUM(($X$64:$X$66)/(V$64:V$66))</f>
        <v>29.18398240827565</v>
      </c>
      <c r="X94" s="22">
        <f t="array" ref="X94">1/SUM((X64:X66)/($X$70:$X$72))</f>
        <v>38.386365550346689</v>
      </c>
      <c r="Y94" s="224">
        <f>1-Z94-AA94</f>
        <v>0.75</v>
      </c>
      <c r="Z94" s="224">
        <v>0</v>
      </c>
      <c r="AA94" s="224">
        <v>0.25</v>
      </c>
    </row>
    <row r="95" spans="2:27" x14ac:dyDescent="0.2">
      <c r="B95" s="398"/>
      <c r="C95" s="176" t="s">
        <v>232</v>
      </c>
      <c r="D95" s="223">
        <f t="array" ref="D95">1/SUM(($Y$64:$Y$66)/(D$64:D$66))</f>
        <v>9.7007337109278602</v>
      </c>
      <c r="E95" s="223">
        <f t="array" ref="E95">1/SUM(($Y$64:$Y$66)/(E$64:E$66))</f>
        <v>11.46514906231179</v>
      </c>
      <c r="F95" s="223">
        <f t="array" ref="F95">1/SUM(($Y$64:$Y$66)/(F$64:F$66))</f>
        <v>12.597412264334141</v>
      </c>
      <c r="G95" s="223">
        <f t="array" ref="G95">1/SUM(($Y$64:$Y$66)/(G$64:G$66))</f>
        <v>16.343308799192588</v>
      </c>
      <c r="I95" s="223">
        <f>dge2kWh/SUMPRODUCT($Y$64:$Y$66,I$64:I$66)</f>
        <v>29.251588232153342</v>
      </c>
      <c r="J95" s="223">
        <f>dge2kWh/SUMPRODUCT($Y$64:$Y$66,J$64:J$66)</f>
        <v>33.509914109394352</v>
      </c>
      <c r="K95" s="223">
        <f>dge2kWh/SUMPRODUCT($Y$64:$Y$66,K$64:K$66)</f>
        <v>37.018058794829145</v>
      </c>
      <c r="L95" s="223">
        <f>dge2kWh/SUMPRODUCT($Y$64:$Y$66,L$64:L$66)</f>
        <v>49.924542316971625</v>
      </c>
      <c r="N95" s="223">
        <f t="array" ref="N95">1/SUM(($Y$64:$Y$66)/(N$64:N$66))</f>
        <v>11.487790488215053</v>
      </c>
      <c r="O95" s="223">
        <f t="array" ref="O95">1/SUM(($Y$64:$Y$66)/(O$64:O$66))</f>
        <v>13.701222134425786</v>
      </c>
      <c r="P95" s="223">
        <f t="array" ref="P95">1/SUM(($Y$64:$Y$66)/(P$64:P$66))</f>
        <v>15.451220988512569</v>
      </c>
      <c r="Q95" s="223">
        <f t="array" ref="Q95">1/SUM(($Y$64:$Y$66)/(Q$64:Q$66))</f>
        <v>21.224118217200878</v>
      </c>
      <c r="S95" s="223">
        <f t="array" ref="S95">1/SUM(($Y$64:$Y$66)/(S$64:S$66))</f>
        <v>18.53328457318791</v>
      </c>
      <c r="T95" s="223">
        <f t="array" ref="T95">1/SUM(($Y$64:$Y$66)/(T$64:T$66))</f>
        <v>21.719500573480008</v>
      </c>
      <c r="U95" s="223">
        <f t="array" ref="U95">1/SUM(($Y$64:$Y$66)/(U$64:U$66))</f>
        <v>23.986753661360851</v>
      </c>
      <c r="V95" s="223">
        <f t="array" ref="V95">1/SUM(($Y$64:$Y$66)/(V$64:V$66))</f>
        <v>34.224280545776509</v>
      </c>
      <c r="X95" s="22">
        <f t="array" ref="X95">1/SUM((Y64:Y66)/($X$70:$X$72))</f>
        <v>23.157674135040388</v>
      </c>
      <c r="Y95" s="224">
        <f>1-Z95-AA95</f>
        <v>0.57999999999999996</v>
      </c>
      <c r="Z95" s="224">
        <v>0.17</v>
      </c>
      <c r="AA95" s="224">
        <v>0.25</v>
      </c>
    </row>
    <row r="96" spans="2:27" x14ac:dyDescent="0.2">
      <c r="B96" s="398"/>
      <c r="C96" s="176" t="s">
        <v>233</v>
      </c>
      <c r="D96" s="223">
        <f t="array" ref="D96">1/SUM(($Z$64:$Z$66)/(D$64:D$66))</f>
        <v>9.1446143540857552</v>
      </c>
      <c r="E96" s="223">
        <f t="array" ref="E96">1/SUM(($Z$64:$Z$66)/(E$64:E$66))</f>
        <v>10.679429834886379</v>
      </c>
      <c r="F96" s="223">
        <f t="array" ref="F96">1/SUM(($Z$64:$Z$66)/(F$64:F$66))</f>
        <v>11.686767736586519</v>
      </c>
      <c r="G96" s="223">
        <f t="array" ref="G96">1/SUM(($Z$64:$Z$66)/(G$64:G$66))</f>
        <v>14.50234896111955</v>
      </c>
      <c r="I96" s="223">
        <f>dge2kWh/SUMPRODUCT($Z$64:$Z$66,I$64:I$66)</f>
        <v>34.338443312024751</v>
      </c>
      <c r="J96" s="223">
        <f>dge2kWh/SUMPRODUCT($Z$64:$Z$66,J$64:J$66)</f>
        <v>39.189847243338917</v>
      </c>
      <c r="K96" s="223">
        <f>dge2kWh/SUMPRODUCT($Z$64:$Z$66,K$64:K$66)</f>
        <v>43.8409444349697</v>
      </c>
      <c r="L96" s="223">
        <f>dge2kWh/SUMPRODUCT($Z$64:$Z$66,L$64:L$66)</f>
        <v>58.223168071199261</v>
      </c>
      <c r="N96" s="223">
        <f t="array" ref="N96">1/SUM(($Z$64:$Z$66)/(N$64:N$66))</f>
        <v>12.273967584335013</v>
      </c>
      <c r="O96" s="223">
        <f t="array" ref="O96">1/SUM(($Z$64:$Z$66)/(O$64:O$66))</f>
        <v>14.44231118018393</v>
      </c>
      <c r="P96" s="223">
        <f t="array" ref="P96">1/SUM(($Z$64:$Z$66)/(P$64:P$66))</f>
        <v>16.515495468190739</v>
      </c>
      <c r="Q96" s="223">
        <f t="array" ref="Q96">1/SUM(($Z$64:$Z$66)/(Q$64:Q$66))</f>
        <v>21.862431283832912</v>
      </c>
      <c r="S96" s="223">
        <f t="array" ref="S96">1/SUM(($Z$64:$Z$66)/(S$64:S$66))</f>
        <v>21.708732088463407</v>
      </c>
      <c r="T96" s="223">
        <f t="array" ref="T96">1/SUM(($Z$64:$Z$66)/(T$64:T$66))</f>
        <v>25.187587839453823</v>
      </c>
      <c r="U96" s="223">
        <f t="array" ref="U96">1/SUM(($Z$64:$Z$66)/(U$64:U$66))</f>
        <v>27.878413303821979</v>
      </c>
      <c r="V96" s="223">
        <f t="array" ref="V96">1/SUM(($Z$64:$Z$66)/(V$64:V$66))</f>
        <v>38.838004280845254</v>
      </c>
      <c r="X96" s="22">
        <f t="array" ref="X96">1/SUM((Z64:Z66)/($X$70:$X$72))</f>
        <v>16.237650509416486</v>
      </c>
      <c r="Y96" s="224">
        <f>1-Z96-AA96</f>
        <v>0.6</v>
      </c>
      <c r="Z96" s="224">
        <v>0.15</v>
      </c>
      <c r="AA96" s="224">
        <v>0.25</v>
      </c>
    </row>
    <row r="97" spans="3:28" x14ac:dyDescent="0.2">
      <c r="C97" s="22" t="s">
        <v>278</v>
      </c>
      <c r="I97" s="199" t="s">
        <v>291</v>
      </c>
      <c r="N97" s="199" t="s">
        <v>292</v>
      </c>
      <c r="S97" s="199" t="s">
        <v>293</v>
      </c>
      <c r="Y97" s="22">
        <v>2021</v>
      </c>
      <c r="Z97" s="30">
        <f>Z101*Z99</f>
        <v>1.56</v>
      </c>
      <c r="AA97" s="30">
        <f>Z101*AA99</f>
        <v>1.2</v>
      </c>
      <c r="AB97" s="22" t="s">
        <v>285</v>
      </c>
    </row>
    <row r="98" spans="3:28" x14ac:dyDescent="0.2">
      <c r="C98" s="176" t="s">
        <v>231</v>
      </c>
      <c r="D98" s="275">
        <f>($X94*$Y94)/($Y94*$X94/D94+SUMPRODUCT($Z94:$AA94,$Z$97:$AA$97))</f>
        <v>8.8554412791350714</v>
      </c>
      <c r="E98" s="275">
        <f t="shared" ref="E98:G100" si="19">($X94*$Y94)/($Y94*$X94/E94+SUMPRODUCT($Z94:$AA94,$Z$98:$AA$98))</f>
        <v>10.82240131497557</v>
      </c>
      <c r="F98" s="275">
        <f t="shared" si="19"/>
        <v>11.858294650613898</v>
      </c>
      <c r="G98" s="275">
        <f t="shared" si="19"/>
        <v>15.770986581643896</v>
      </c>
      <c r="H98" s="275"/>
      <c r="I98" s="275">
        <f>I94</f>
        <v>24.33363540010825</v>
      </c>
      <c r="J98" s="275">
        <f t="shared" ref="J98:L98" si="20">J94</f>
        <v>27.961114924642335</v>
      </c>
      <c r="K98" s="275">
        <f t="shared" si="20"/>
        <v>30.621377659230074</v>
      </c>
      <c r="L98" s="275">
        <f t="shared" si="20"/>
        <v>41.811014120162788</v>
      </c>
      <c r="M98" s="203"/>
      <c r="N98" s="275">
        <f>N94</f>
        <v>10.319873216951352</v>
      </c>
      <c r="O98" s="275">
        <f t="shared" ref="O98:Q98" si="21">O94</f>
        <v>12.442647249727536</v>
      </c>
      <c r="P98" s="275">
        <f t="shared" si="21"/>
        <v>13.882355246117926</v>
      </c>
      <c r="Q98" s="275">
        <f t="shared" si="21"/>
        <v>19.670677816150686</v>
      </c>
      <c r="R98" s="203"/>
      <c r="S98" s="275">
        <f>S94</f>
        <v>15.367527671577536</v>
      </c>
      <c r="T98" s="275">
        <f t="shared" ref="T98:V98" si="22">T94</f>
        <v>18.17163492006388</v>
      </c>
      <c r="U98" s="275">
        <f t="shared" si="22"/>
        <v>20.060943447091475</v>
      </c>
      <c r="V98" s="275">
        <f t="shared" si="22"/>
        <v>29.18398240827565</v>
      </c>
      <c r="Y98" s="22" t="s">
        <v>294</v>
      </c>
      <c r="Z98" s="30">
        <f>Z101*Z100</f>
        <v>1.248</v>
      </c>
      <c r="AA98" s="30">
        <f>Z101*AA100</f>
        <v>0.79200000000000004</v>
      </c>
    </row>
    <row r="99" spans="3:28" x14ac:dyDescent="0.2">
      <c r="C99" s="176" t="s">
        <v>232</v>
      </c>
      <c r="D99" s="275">
        <f>($X95*$Y95)/($Y95*$X95/D95+SUMPRODUCT($Z95:$AA95,$Z$97:$AA$97))</f>
        <v>6.888697455228999</v>
      </c>
      <c r="E99" s="275">
        <f t="shared" si="19"/>
        <v>8.4919828620561688</v>
      </c>
      <c r="F99" s="275">
        <f t="shared" si="19"/>
        <v>9.0976360585921281</v>
      </c>
      <c r="G99" s="275">
        <f t="shared" si="19"/>
        <v>10.902224288338362</v>
      </c>
      <c r="H99" s="275"/>
      <c r="I99" s="275">
        <f t="shared" ref="I99:L100" si="23">I95</f>
        <v>29.251588232153342</v>
      </c>
      <c r="J99" s="275">
        <f t="shared" si="23"/>
        <v>33.509914109394352</v>
      </c>
      <c r="K99" s="275">
        <f t="shared" si="23"/>
        <v>37.018058794829145</v>
      </c>
      <c r="L99" s="275">
        <f t="shared" si="23"/>
        <v>49.924542316971625</v>
      </c>
      <c r="M99" s="203"/>
      <c r="N99" s="275">
        <f t="shared" ref="N99:Q100" si="24">N95</f>
        <v>11.487790488215053</v>
      </c>
      <c r="O99" s="275">
        <f t="shared" si="24"/>
        <v>13.701222134425786</v>
      </c>
      <c r="P99" s="275">
        <f t="shared" si="24"/>
        <v>15.451220988512569</v>
      </c>
      <c r="Q99" s="275">
        <f t="shared" si="24"/>
        <v>21.224118217200878</v>
      </c>
      <c r="R99" s="203"/>
      <c r="S99" s="275">
        <f t="shared" ref="S99:V100" si="25">S95</f>
        <v>18.53328457318791</v>
      </c>
      <c r="T99" s="275">
        <f t="shared" si="25"/>
        <v>21.719500573480008</v>
      </c>
      <c r="U99" s="275">
        <f t="shared" si="25"/>
        <v>23.986753661360851</v>
      </c>
      <c r="V99" s="275">
        <f t="shared" si="25"/>
        <v>34.224280545776509</v>
      </c>
      <c r="Z99" s="224">
        <v>1.3</v>
      </c>
      <c r="AA99" s="67">
        <v>1</v>
      </c>
    </row>
    <row r="100" spans="3:28" x14ac:dyDescent="0.2">
      <c r="C100" s="176" t="s">
        <v>233</v>
      </c>
      <c r="D100" s="275">
        <f>($X96*$Y96)/($Y96*$X96/D96+SUMPRODUCT($Z96:$AA96,$Z$97:$AA$97))</f>
        <v>6.0914372968734538</v>
      </c>
      <c r="E100" s="275">
        <f t="shared" si="19"/>
        <v>7.5088775094784967</v>
      </c>
      <c r="F100" s="275">
        <f t="shared" si="19"/>
        <v>7.993311315747536</v>
      </c>
      <c r="G100" s="275">
        <f t="shared" si="19"/>
        <v>9.217262121061971</v>
      </c>
      <c r="H100" s="275"/>
      <c r="I100" s="275">
        <f t="shared" si="23"/>
        <v>34.338443312024751</v>
      </c>
      <c r="J100" s="275">
        <f t="shared" si="23"/>
        <v>39.189847243338917</v>
      </c>
      <c r="K100" s="275">
        <f t="shared" si="23"/>
        <v>43.8409444349697</v>
      </c>
      <c r="L100" s="275">
        <f t="shared" si="23"/>
        <v>58.223168071199261</v>
      </c>
      <c r="M100" s="203"/>
      <c r="N100" s="275">
        <f t="shared" si="24"/>
        <v>12.273967584335013</v>
      </c>
      <c r="O100" s="275">
        <f t="shared" si="24"/>
        <v>14.44231118018393</v>
      </c>
      <c r="P100" s="275">
        <f t="shared" si="24"/>
        <v>16.515495468190739</v>
      </c>
      <c r="Q100" s="275">
        <f t="shared" si="24"/>
        <v>21.862431283832912</v>
      </c>
      <c r="R100" s="203"/>
      <c r="S100" s="275">
        <f t="shared" si="25"/>
        <v>21.708732088463407</v>
      </c>
      <c r="T100" s="275">
        <f t="shared" si="25"/>
        <v>25.187587839453823</v>
      </c>
      <c r="U100" s="275">
        <f t="shared" si="25"/>
        <v>27.878413303821979</v>
      </c>
      <c r="V100" s="275">
        <f t="shared" si="25"/>
        <v>38.838004280845254</v>
      </c>
      <c r="Z100" s="224">
        <f>0.8*Z99</f>
        <v>1.04</v>
      </c>
      <c r="AA100" s="67">
        <v>0.66</v>
      </c>
    </row>
    <row r="101" spans="3:28" x14ac:dyDescent="0.2">
      <c r="Z101" s="30">
        <v>1.2</v>
      </c>
      <c r="AB101" s="22" t="s">
        <v>289</v>
      </c>
    </row>
    <row r="102" spans="3:28" x14ac:dyDescent="0.2">
      <c r="C102" s="22" t="s">
        <v>290</v>
      </c>
      <c r="D102" s="274">
        <f t="shared" ref="D102:E104" si="26">D98/D86-1</f>
        <v>0.13989648825054579</v>
      </c>
      <c r="E102" s="274">
        <f t="shared" si="26"/>
        <v>0.29783535257344851</v>
      </c>
    </row>
    <row r="103" spans="3:28" x14ac:dyDescent="0.2">
      <c r="D103" s="274">
        <f t="shared" si="26"/>
        <v>4.2056580418696754E-3</v>
      </c>
      <c r="E103" s="274">
        <f t="shared" si="26"/>
        <v>9.7785798923159417E-2</v>
      </c>
    </row>
    <row r="104" spans="3:28" x14ac:dyDescent="0.2">
      <c r="D104" s="274">
        <f t="shared" si="26"/>
        <v>-8.1376000448842856E-3</v>
      </c>
      <c r="E104" s="274">
        <f t="shared" si="26"/>
        <v>6.5699543018438167E-2</v>
      </c>
    </row>
  </sheetData>
  <mergeCells count="11">
    <mergeCell ref="B38:B42"/>
    <mergeCell ref="B3:B6"/>
    <mergeCell ref="B7:B15"/>
    <mergeCell ref="B16:B25"/>
    <mergeCell ref="B26:B30"/>
    <mergeCell ref="B31:B37"/>
    <mergeCell ref="B74:B76"/>
    <mergeCell ref="B94:B96"/>
    <mergeCell ref="B43:B51"/>
    <mergeCell ref="B52:B60"/>
    <mergeCell ref="B64:B73"/>
  </mergeCells>
  <conditionalFormatting sqref="C28:C30">
    <cfRule type="expression" dxfId="3" priority="4">
      <formula>$C$53=0</formula>
    </cfRule>
  </conditionalFormatting>
  <conditionalFormatting sqref="C31:C37 C43:C44">
    <cfRule type="expression" dxfId="2" priority="3">
      <formula>$C$54=0</formula>
    </cfRule>
  </conditionalFormatting>
  <conditionalFormatting sqref="C45:C48">
    <cfRule type="expression" dxfId="1" priority="2">
      <formula>#REF!=2</formula>
    </cfRule>
  </conditionalFormatting>
  <conditionalFormatting sqref="C45:C51">
    <cfRule type="expression" dxfId="0" priority="1">
      <formula>OR($C$37=0,$C$44=0,$C$45=0)</formula>
    </cfRule>
  </conditionalFormatting>
  <pageMargins left="0.7" right="0.7" top="0.75" bottom="0.75" header="0.3" footer="0.3"/>
  <pageSetup orientation="portrait" horizont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917E-CD62-48BC-9904-2AF1E9B989D4}">
  <sheetPr codeName="Sheet6"/>
  <dimension ref="A1:C25"/>
  <sheetViews>
    <sheetView workbookViewId="0">
      <selection activeCell="B5" sqref="B5"/>
    </sheetView>
  </sheetViews>
  <sheetFormatPr baseColWidth="10" defaultColWidth="8.83203125" defaultRowHeight="15" x14ac:dyDescent="0.2"/>
  <sheetData>
    <row r="1" spans="1:3" x14ac:dyDescent="0.2">
      <c r="A1" t="s">
        <v>192</v>
      </c>
    </row>
    <row r="2" spans="1:3" x14ac:dyDescent="0.2">
      <c r="A2" t="s">
        <v>193</v>
      </c>
    </row>
    <row r="3" spans="1:3" x14ac:dyDescent="0.2">
      <c r="A3" t="s">
        <v>194</v>
      </c>
      <c r="B3">
        <f>SUM(B5:B6)/2</f>
        <v>2028</v>
      </c>
      <c r="C3" t="s">
        <v>196</v>
      </c>
    </row>
    <row r="4" spans="1:3" x14ac:dyDescent="0.2">
      <c r="A4" t="s">
        <v>195</v>
      </c>
      <c r="B4">
        <v>1</v>
      </c>
      <c r="C4" t="s">
        <v>197</v>
      </c>
    </row>
    <row r="5" spans="1:3" x14ac:dyDescent="0.2">
      <c r="A5" t="s">
        <v>198</v>
      </c>
      <c r="B5">
        <v>2021</v>
      </c>
    </row>
    <row r="6" spans="1:3" x14ac:dyDescent="0.2">
      <c r="A6" t="s">
        <v>199</v>
      </c>
      <c r="B6">
        <v>2035</v>
      </c>
    </row>
    <row r="9" spans="1:3" x14ac:dyDescent="0.2">
      <c r="A9">
        <f>B5</f>
        <v>2021</v>
      </c>
      <c r="B9">
        <v>0</v>
      </c>
    </row>
    <row r="10" spans="1:3" x14ac:dyDescent="0.2">
      <c r="A10">
        <f>A9+1</f>
        <v>2022</v>
      </c>
      <c r="B10">
        <f>1/(1+EXP(-($A10-B$3)/B$4))</f>
        <v>2.4726231566347743E-3</v>
      </c>
    </row>
    <row r="11" spans="1:3" x14ac:dyDescent="0.2">
      <c r="A11" s="21">
        <f t="shared" ref="A11:A25" si="0">A10+1</f>
        <v>2023</v>
      </c>
      <c r="B11" s="21">
        <f t="shared" ref="B11:B25" si="1">1/(1+EXP(-($A11-B$3)/B$4))</f>
        <v>6.6928509242848554E-3</v>
      </c>
    </row>
    <row r="12" spans="1:3" x14ac:dyDescent="0.2">
      <c r="A12" s="21">
        <f t="shared" si="0"/>
        <v>2024</v>
      </c>
      <c r="B12" s="21">
        <f t="shared" si="1"/>
        <v>1.7986209962091559E-2</v>
      </c>
    </row>
    <row r="13" spans="1:3" x14ac:dyDescent="0.2">
      <c r="A13" s="21">
        <f t="shared" si="0"/>
        <v>2025</v>
      </c>
      <c r="B13" s="21">
        <f t="shared" si="1"/>
        <v>4.7425873177566781E-2</v>
      </c>
    </row>
    <row r="14" spans="1:3" x14ac:dyDescent="0.2">
      <c r="A14" s="21">
        <f t="shared" si="0"/>
        <v>2026</v>
      </c>
      <c r="B14" s="21">
        <f t="shared" si="1"/>
        <v>0.11920292202211755</v>
      </c>
    </row>
    <row r="15" spans="1:3" x14ac:dyDescent="0.2">
      <c r="A15" s="21">
        <f t="shared" si="0"/>
        <v>2027</v>
      </c>
      <c r="B15" s="21">
        <f t="shared" si="1"/>
        <v>0.2689414213699951</v>
      </c>
    </row>
    <row r="16" spans="1:3" x14ac:dyDescent="0.2">
      <c r="A16" s="21">
        <f t="shared" si="0"/>
        <v>2028</v>
      </c>
      <c r="B16" s="21">
        <f t="shared" si="1"/>
        <v>0.5</v>
      </c>
    </row>
    <row r="17" spans="1:2" x14ac:dyDescent="0.2">
      <c r="A17" s="21">
        <f t="shared" si="0"/>
        <v>2029</v>
      </c>
      <c r="B17" s="21">
        <f t="shared" si="1"/>
        <v>0.7310585786300049</v>
      </c>
    </row>
    <row r="18" spans="1:2" x14ac:dyDescent="0.2">
      <c r="A18" s="21">
        <f t="shared" si="0"/>
        <v>2030</v>
      </c>
      <c r="B18" s="21">
        <f t="shared" si="1"/>
        <v>0.88079707797788231</v>
      </c>
    </row>
    <row r="19" spans="1:2" x14ac:dyDescent="0.2">
      <c r="A19" s="21">
        <f t="shared" si="0"/>
        <v>2031</v>
      </c>
      <c r="B19" s="21">
        <f t="shared" si="1"/>
        <v>0.95257412682243336</v>
      </c>
    </row>
    <row r="20" spans="1:2" x14ac:dyDescent="0.2">
      <c r="A20" s="21">
        <f t="shared" si="0"/>
        <v>2032</v>
      </c>
      <c r="B20" s="21">
        <f t="shared" si="1"/>
        <v>0.98201379003790845</v>
      </c>
    </row>
    <row r="21" spans="1:2" x14ac:dyDescent="0.2">
      <c r="A21" s="21">
        <f t="shared" si="0"/>
        <v>2033</v>
      </c>
      <c r="B21" s="21">
        <f t="shared" si="1"/>
        <v>0.99330714907571527</v>
      </c>
    </row>
    <row r="22" spans="1:2" x14ac:dyDescent="0.2">
      <c r="A22" s="21">
        <f t="shared" si="0"/>
        <v>2034</v>
      </c>
      <c r="B22" s="21">
        <f t="shared" si="1"/>
        <v>0.99752737684336534</v>
      </c>
    </row>
    <row r="23" spans="1:2" x14ac:dyDescent="0.2">
      <c r="A23" s="21">
        <f t="shared" si="0"/>
        <v>2035</v>
      </c>
      <c r="B23" s="21">
        <f t="shared" si="1"/>
        <v>0.9990889488055994</v>
      </c>
    </row>
    <row r="24" spans="1:2" x14ac:dyDescent="0.2">
      <c r="A24" s="21">
        <f t="shared" si="0"/>
        <v>2036</v>
      </c>
      <c r="B24" s="21">
        <f t="shared" si="1"/>
        <v>0.99966464986953363</v>
      </c>
    </row>
    <row r="25" spans="1:2" x14ac:dyDescent="0.2">
      <c r="A25" s="21">
        <f t="shared" si="0"/>
        <v>2037</v>
      </c>
      <c r="B25" s="21">
        <f t="shared" si="1"/>
        <v>0.99987660542401369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0B58-21C9-4D92-8B3F-97C31C978BDC}">
  <sheetPr codeName="Sheet5"/>
  <dimension ref="A1:AE76"/>
  <sheetViews>
    <sheetView workbookViewId="0">
      <selection activeCell="D7" sqref="D7:F7"/>
    </sheetView>
  </sheetViews>
  <sheetFormatPr baseColWidth="10" defaultColWidth="8.83203125" defaultRowHeight="15" x14ac:dyDescent="0.2"/>
  <cols>
    <col min="1" max="1" width="23.5" bestFit="1" customWidth="1"/>
    <col min="3" max="3" width="11.1640625" bestFit="1" customWidth="1"/>
    <col min="19" max="19" width="12.5" customWidth="1"/>
    <col min="22" max="22" width="11.33203125" bestFit="1" customWidth="1"/>
  </cols>
  <sheetData>
    <row r="1" spans="1:31" x14ac:dyDescent="0.2">
      <c r="A1" s="17" t="s">
        <v>162</v>
      </c>
    </row>
    <row r="2" spans="1:31" x14ac:dyDescent="0.2">
      <c r="C2" t="s">
        <v>179</v>
      </c>
      <c r="G2" t="s">
        <v>183</v>
      </c>
      <c r="S2" t="s">
        <v>153</v>
      </c>
    </row>
    <row r="3" spans="1:31" x14ac:dyDescent="0.2">
      <c r="B3" t="s">
        <v>175</v>
      </c>
      <c r="C3">
        <v>2021</v>
      </c>
      <c r="D3">
        <v>2027</v>
      </c>
      <c r="E3">
        <v>2035</v>
      </c>
      <c r="F3">
        <v>2050</v>
      </c>
      <c r="G3">
        <v>2021</v>
      </c>
      <c r="H3">
        <v>2027</v>
      </c>
      <c r="I3">
        <v>2035</v>
      </c>
      <c r="J3">
        <v>2050</v>
      </c>
      <c r="O3">
        <f>MATCH(A1,Class_list,0)</f>
        <v>9</v>
      </c>
      <c r="S3" t="s">
        <v>169</v>
      </c>
    </row>
    <row r="4" spans="1:31" x14ac:dyDescent="0.2">
      <c r="A4" t="s">
        <v>138</v>
      </c>
      <c r="L4" t="s">
        <v>145</v>
      </c>
      <c r="M4" t="s">
        <v>146</v>
      </c>
      <c r="N4" t="s">
        <v>178</v>
      </c>
      <c r="O4" t="s">
        <v>177</v>
      </c>
      <c r="W4" t="s">
        <v>164</v>
      </c>
    </row>
    <row r="5" spans="1:31" x14ac:dyDescent="0.2">
      <c r="A5" s="15" t="s">
        <v>176</v>
      </c>
      <c r="B5" s="17" t="s">
        <v>165</v>
      </c>
      <c r="C5" s="14">
        <f>IF(G5=0,0,$L5*EXP($M5*G5)-$N5)</f>
        <v>705.32977642781293</v>
      </c>
      <c r="D5" s="14">
        <f>IF(H5=0,0,$L5*EXP($M5*H5)-$N5)</f>
        <v>2327.7472024686558</v>
      </c>
      <c r="E5" s="14">
        <f>IF(I5=0,0,$L5*EXP($M5*I5)-$N5)</f>
        <v>3079.528179424482</v>
      </c>
      <c r="F5" s="14">
        <f>IF(J5=0,0,$L5*EXP($M5*J5)-$N5)</f>
        <v>10279.773253636378</v>
      </c>
      <c r="G5" s="18">
        <f>1-'Class 8 Sleeper Cab'!D$8/$O5</f>
        <v>0.21999999999999986</v>
      </c>
      <c r="H5" s="18">
        <f>1-'Class 8 Sleeper Cab'!E$8/$O5</f>
        <v>0.31285714285714283</v>
      </c>
      <c r="I5" s="18">
        <f>1-'Class 8 Sleeper Cab'!F$8/$O5</f>
        <v>0.34285714285714275</v>
      </c>
      <c r="J5" s="18">
        <f>1-'Class 8 Sleeper Cab'!G$8/$O5</f>
        <v>0.5</v>
      </c>
      <c r="K5">
        <f>MATCH(B5,Aero_Cost_list,0)</f>
        <v>1</v>
      </c>
      <c r="L5" cm="1">
        <f t="array" ref="L5">INDEX(CHOOSE($K5,Aero_coef_low,Aero_coef_mid,Aero_coef_high),$O$3,1)</f>
        <v>565.49984773371318</v>
      </c>
      <c r="M5" cm="1">
        <f t="array" ref="M5">INDEX(CHOOSE($K5,Aero_coef_low,Aero_coef_mid,Aero_coef_high),$O$3,2)</f>
        <v>6.0628219869963784</v>
      </c>
      <c r="N5" cm="1">
        <f t="array" ref="N5">INDEX(CHOOSE($K5,Aero_coef_low,Aero_coef_mid,Aero_coef_high),$O$3,3)</f>
        <v>1441.0349463278901</v>
      </c>
      <c r="O5" cm="1">
        <f t="array" ref="O5">INDEX(Cd_Base,$O$3)</f>
        <v>0.7</v>
      </c>
      <c r="T5" t="s">
        <v>163</v>
      </c>
      <c r="U5" t="s">
        <v>170</v>
      </c>
      <c r="V5" t="s">
        <v>168</v>
      </c>
      <c r="W5" t="s">
        <v>147</v>
      </c>
      <c r="X5" t="s">
        <v>148</v>
      </c>
      <c r="Y5" t="s">
        <v>171</v>
      </c>
      <c r="Z5" t="s">
        <v>149</v>
      </c>
      <c r="AA5" t="s">
        <v>150</v>
      </c>
      <c r="AB5" t="s">
        <v>172</v>
      </c>
      <c r="AC5" t="s">
        <v>151</v>
      </c>
      <c r="AD5" t="s">
        <v>152</v>
      </c>
      <c r="AE5" t="s">
        <v>173</v>
      </c>
    </row>
    <row r="6" spans="1:31" x14ac:dyDescent="0.2">
      <c r="A6" s="211" t="s">
        <v>189</v>
      </c>
      <c r="C6" s="14">
        <f>C5*EXP(-0.01*(C3-2010))</f>
        <v>631.85849036510342</v>
      </c>
      <c r="D6" s="14">
        <f>D5*EXP(-0.01*(D3-2010))</f>
        <v>1963.8384166534638</v>
      </c>
      <c r="E6" s="14">
        <f>E5*EXP(-0.01*(E3-2010))</f>
        <v>2398.3389576262443</v>
      </c>
      <c r="F6" s="14">
        <f>F5*EXP(-0.01*(F3-2010))</f>
        <v>6890.7380806134706</v>
      </c>
      <c r="G6" s="14"/>
      <c r="H6" s="14"/>
      <c r="I6" s="18"/>
      <c r="J6" s="18"/>
      <c r="S6" t="s">
        <v>154</v>
      </c>
      <c r="T6">
        <v>0.77</v>
      </c>
      <c r="U6">
        <v>0.73399999999999999</v>
      </c>
      <c r="V6">
        <f t="shared" ref="V6:V17" si="0">1-U6/T6</f>
        <v>4.6753246753246769E-2</v>
      </c>
      <c r="W6">
        <v>565.49984773371318</v>
      </c>
      <c r="X6">
        <v>6.0628219869963784</v>
      </c>
      <c r="Y6">
        <f>IF(V6=0,0,W6*EXP(X6*$V6))</f>
        <v>750.82052262010177</v>
      </c>
      <c r="Z6">
        <v>581.89387971124222</v>
      </c>
      <c r="AA6">
        <v>8.1333050718937727</v>
      </c>
      <c r="AB6">
        <f>IF(Y6=0,0,Z6*EXP(AA6*$V6))</f>
        <v>851.11436864923337</v>
      </c>
      <c r="AC6">
        <v>662.38774647706794</v>
      </c>
      <c r="AD6">
        <v>10.928971213281018</v>
      </c>
      <c r="AE6">
        <f>IF(AB6=0,0,AC6*EXP(AD6*$V6))</f>
        <v>1104.1333329206593</v>
      </c>
    </row>
    <row r="7" spans="1:31" x14ac:dyDescent="0.2">
      <c r="A7" s="211" t="s">
        <v>219</v>
      </c>
      <c r="B7" s="21"/>
      <c r="C7" s="14"/>
      <c r="D7" s="14">
        <f>D6-$C6</f>
        <v>1331.9799262883603</v>
      </c>
      <c r="E7" s="14">
        <f>E6-$C6</f>
        <v>1766.4804672611408</v>
      </c>
      <c r="F7" s="14">
        <f>F6-$C6</f>
        <v>6258.8795902483671</v>
      </c>
      <c r="G7" s="14"/>
      <c r="H7" s="14"/>
      <c r="I7" s="18"/>
      <c r="J7" s="18"/>
      <c r="K7" s="21"/>
      <c r="L7" s="21"/>
      <c r="M7" s="21"/>
      <c r="N7" s="21"/>
      <c r="O7" s="21"/>
      <c r="P7" s="21"/>
      <c r="Q7" s="21"/>
      <c r="S7" t="s">
        <v>155</v>
      </c>
      <c r="T7">
        <v>0.87</v>
      </c>
      <c r="U7">
        <v>0.84</v>
      </c>
      <c r="V7">
        <f t="shared" si="0"/>
        <v>3.4482758620689724E-2</v>
      </c>
      <c r="W7">
        <v>565.49984773371318</v>
      </c>
      <c r="X7">
        <v>6.0628219869963784</v>
      </c>
      <c r="Y7">
        <f t="shared" ref="Y7:Y17" si="1">IF(V7=0,0,W7*EXP(X7*$V7))</f>
        <v>696.99124759862798</v>
      </c>
      <c r="Z7">
        <v>581.89387971124222</v>
      </c>
      <c r="AA7">
        <v>8.1333050718937727</v>
      </c>
      <c r="AB7">
        <f t="shared" ref="AB7:AB17" si="2">IF(Y7=0,0,Z7*EXP(AA7*$V7))</f>
        <v>770.2744573245634</v>
      </c>
      <c r="AC7">
        <v>662.38774647706794</v>
      </c>
      <c r="AD7">
        <v>10.928971213281018</v>
      </c>
      <c r="AE7">
        <f t="shared" ref="AE7:AE17" si="3">IF(AB7=0,0,AC7*EXP(AD7*$V7))</f>
        <v>965.56380106910751</v>
      </c>
    </row>
    <row r="8" spans="1:31" x14ac:dyDescent="0.2">
      <c r="A8" s="15" t="s">
        <v>139</v>
      </c>
      <c r="S8" t="s">
        <v>156</v>
      </c>
      <c r="T8">
        <v>0.73</v>
      </c>
      <c r="U8">
        <v>0.65</v>
      </c>
      <c r="V8">
        <f t="shared" si="0"/>
        <v>0.1095890410958904</v>
      </c>
      <c r="W8">
        <v>565.49984773371318</v>
      </c>
      <c r="X8">
        <v>6.0628219869963784</v>
      </c>
      <c r="Y8">
        <f t="shared" si="1"/>
        <v>1098.9702392444403</v>
      </c>
      <c r="Z8">
        <v>581.89387971124222</v>
      </c>
      <c r="AA8">
        <v>8.1333050718937727</v>
      </c>
      <c r="AB8">
        <f t="shared" si="2"/>
        <v>1418.8602643980894</v>
      </c>
      <c r="AC8">
        <v>662.38774647706794</v>
      </c>
      <c r="AD8">
        <v>10.928971213281018</v>
      </c>
      <c r="AE8">
        <f t="shared" si="3"/>
        <v>2194.1424803904924</v>
      </c>
    </row>
    <row r="9" spans="1:31" x14ac:dyDescent="0.2">
      <c r="A9" s="15" t="s">
        <v>140</v>
      </c>
      <c r="S9" t="s">
        <v>157</v>
      </c>
      <c r="T9">
        <v>0.77</v>
      </c>
      <c r="U9">
        <v>0.73399999999999999</v>
      </c>
      <c r="V9">
        <f t="shared" si="0"/>
        <v>4.6753246753246769E-2</v>
      </c>
      <c r="W9">
        <v>565.49984773371318</v>
      </c>
      <c r="X9">
        <v>6.0628219869963784</v>
      </c>
      <c r="Y9">
        <f t="shared" si="1"/>
        <v>750.82052262010177</v>
      </c>
      <c r="Z9">
        <v>581.89387971124222</v>
      </c>
      <c r="AA9">
        <v>8.1333050718937727</v>
      </c>
      <c r="AB9">
        <f t="shared" si="2"/>
        <v>851.11436864923337</v>
      </c>
      <c r="AC9">
        <v>662.38774647706794</v>
      </c>
      <c r="AD9">
        <v>10.928971213281018</v>
      </c>
      <c r="AE9">
        <f t="shared" si="3"/>
        <v>1104.1333329206593</v>
      </c>
    </row>
    <row r="10" spans="1:31" x14ac:dyDescent="0.2">
      <c r="S10" t="s">
        <v>158</v>
      </c>
      <c r="T10">
        <v>0.87</v>
      </c>
      <c r="U10">
        <v>0.84</v>
      </c>
      <c r="V10">
        <f t="shared" si="0"/>
        <v>3.4482758620689724E-2</v>
      </c>
      <c r="W10">
        <v>565.49984773371318</v>
      </c>
      <c r="X10">
        <v>6.0628219869963784</v>
      </c>
      <c r="Y10">
        <f t="shared" si="1"/>
        <v>696.99124759862798</v>
      </c>
      <c r="Z10">
        <v>581.89387971124222</v>
      </c>
      <c r="AA10">
        <v>8.1333050718937727</v>
      </c>
      <c r="AB10">
        <f t="shared" si="2"/>
        <v>770.2744573245634</v>
      </c>
      <c r="AC10">
        <v>662.38774647706794</v>
      </c>
      <c r="AD10">
        <v>10.928971213281018</v>
      </c>
      <c r="AE10">
        <f t="shared" si="3"/>
        <v>965.56380106910751</v>
      </c>
    </row>
    <row r="11" spans="1:31" x14ac:dyDescent="0.2">
      <c r="A11" s="16" t="s">
        <v>141</v>
      </c>
      <c r="S11" t="s">
        <v>159</v>
      </c>
      <c r="T11">
        <v>0.73</v>
      </c>
      <c r="U11">
        <v>0.65</v>
      </c>
      <c r="V11">
        <f t="shared" si="0"/>
        <v>0.1095890410958904</v>
      </c>
      <c r="W11">
        <v>565.49984773371318</v>
      </c>
      <c r="X11">
        <v>6.0628219869963784</v>
      </c>
      <c r="Y11">
        <f t="shared" si="1"/>
        <v>1098.9702392444403</v>
      </c>
      <c r="Z11">
        <v>581.89387971124222</v>
      </c>
      <c r="AA11">
        <v>8.1333050718937727</v>
      </c>
      <c r="AB11">
        <f t="shared" si="2"/>
        <v>1418.8602643980894</v>
      </c>
      <c r="AC11">
        <v>662.38774647706794</v>
      </c>
      <c r="AD11">
        <v>10.928971213281018</v>
      </c>
      <c r="AE11">
        <f t="shared" si="3"/>
        <v>2194.1424803904924</v>
      </c>
    </row>
    <row r="12" spans="1:31" x14ac:dyDescent="0.2">
      <c r="A12" s="15" t="s">
        <v>142</v>
      </c>
      <c r="S12" t="s">
        <v>160</v>
      </c>
      <c r="T12">
        <v>0.77</v>
      </c>
      <c r="U12">
        <v>0.72799999999999998</v>
      </c>
      <c r="V12">
        <f t="shared" si="0"/>
        <v>5.4545454545454564E-2</v>
      </c>
      <c r="W12">
        <v>565.49984773371318</v>
      </c>
      <c r="X12">
        <v>6.0628219869963784</v>
      </c>
      <c r="Y12">
        <f t="shared" si="1"/>
        <v>787.14258503849328</v>
      </c>
      <c r="Z12">
        <v>581.89387971124222</v>
      </c>
      <c r="AA12">
        <v>8.1333050718937727</v>
      </c>
      <c r="AB12">
        <f t="shared" si="2"/>
        <v>906.80090436115313</v>
      </c>
      <c r="AC12">
        <v>662.38774647706794</v>
      </c>
      <c r="AD12">
        <v>10.928971213281018</v>
      </c>
      <c r="AE12">
        <f t="shared" si="3"/>
        <v>1202.2821324948873</v>
      </c>
    </row>
    <row r="13" spans="1:31" x14ac:dyDescent="0.2">
      <c r="S13" t="s">
        <v>161</v>
      </c>
      <c r="T13">
        <v>0.87</v>
      </c>
      <c r="U13">
        <v>0.83499999999999996</v>
      </c>
      <c r="V13">
        <f t="shared" si="0"/>
        <v>4.0229885057471271E-2</v>
      </c>
      <c r="W13">
        <v>565.49984773371318</v>
      </c>
      <c r="X13">
        <v>6.0628219869963784</v>
      </c>
      <c r="Y13">
        <f t="shared" si="1"/>
        <v>721.70513699163973</v>
      </c>
      <c r="Z13">
        <v>581.89387971124222</v>
      </c>
      <c r="AA13">
        <v>8.1333050718937727</v>
      </c>
      <c r="AB13">
        <f t="shared" si="2"/>
        <v>807.13425864295823</v>
      </c>
      <c r="AC13">
        <v>662.38774647706794</v>
      </c>
      <c r="AD13">
        <v>10.928971213281018</v>
      </c>
      <c r="AE13">
        <f t="shared" si="3"/>
        <v>1028.1561793678673</v>
      </c>
    </row>
    <row r="14" spans="1:31" x14ac:dyDescent="0.2">
      <c r="A14" t="s">
        <v>143</v>
      </c>
      <c r="S14" t="s">
        <v>162</v>
      </c>
      <c r="T14">
        <v>0.7</v>
      </c>
      <c r="U14">
        <v>0.59199999999999997</v>
      </c>
      <c r="V14">
        <f t="shared" si="0"/>
        <v>0.15428571428571425</v>
      </c>
      <c r="W14">
        <v>565.49984773371318</v>
      </c>
      <c r="X14">
        <v>6.0628219869963784</v>
      </c>
      <c r="Y14">
        <f t="shared" si="1"/>
        <v>1441.0349463278901</v>
      </c>
      <c r="Z14">
        <v>581.89387971124222</v>
      </c>
      <c r="AA14">
        <v>8.1333050718937727</v>
      </c>
      <c r="AB14">
        <f t="shared" si="2"/>
        <v>2040.8892043649264</v>
      </c>
      <c r="AC14">
        <v>662.38774647706794</v>
      </c>
      <c r="AD14">
        <v>10.928971213281018</v>
      </c>
      <c r="AE14">
        <f t="shared" si="3"/>
        <v>3576.1255125779762</v>
      </c>
    </row>
    <row r="15" spans="1:31" x14ac:dyDescent="0.2">
      <c r="A15" t="s">
        <v>144</v>
      </c>
      <c r="S15" t="s">
        <v>180</v>
      </c>
      <c r="T15">
        <v>0.6</v>
      </c>
      <c r="U15">
        <v>0.6</v>
      </c>
      <c r="V15">
        <f t="shared" si="0"/>
        <v>0</v>
      </c>
      <c r="W15">
        <v>423.12153785097257</v>
      </c>
      <c r="X15">
        <v>6.5716606028771229</v>
      </c>
      <c r="Y15">
        <f t="shared" si="1"/>
        <v>0</v>
      </c>
      <c r="Z15">
        <v>548.51737325432396</v>
      </c>
      <c r="AA15">
        <v>6.4956044740211896</v>
      </c>
      <c r="AB15">
        <f t="shared" si="2"/>
        <v>0</v>
      </c>
      <c r="AC15">
        <v>616.04252186306815</v>
      </c>
      <c r="AD15">
        <v>6.7581566840691893</v>
      </c>
      <c r="AE15">
        <f t="shared" si="3"/>
        <v>0</v>
      </c>
    </row>
    <row r="16" spans="1:31" x14ac:dyDescent="0.2">
      <c r="S16" t="s">
        <v>181</v>
      </c>
      <c r="T16">
        <v>0.6</v>
      </c>
      <c r="U16">
        <v>0.6</v>
      </c>
      <c r="V16">
        <f t="shared" si="0"/>
        <v>0</v>
      </c>
      <c r="W16">
        <v>423.12153785097257</v>
      </c>
      <c r="X16">
        <v>6.5716606028771229</v>
      </c>
      <c r="Y16">
        <f t="shared" si="1"/>
        <v>0</v>
      </c>
      <c r="Z16">
        <v>548.51737325432396</v>
      </c>
      <c r="AA16">
        <v>6.4956044740211896</v>
      </c>
      <c r="AB16">
        <f t="shared" si="2"/>
        <v>0</v>
      </c>
      <c r="AC16">
        <v>616.04252186306815</v>
      </c>
      <c r="AD16">
        <v>6.7581566840691893</v>
      </c>
      <c r="AE16">
        <f t="shared" si="3"/>
        <v>0</v>
      </c>
    </row>
    <row r="17" spans="19:31" x14ac:dyDescent="0.2">
      <c r="S17" t="s">
        <v>182</v>
      </c>
      <c r="T17">
        <v>0.7</v>
      </c>
      <c r="U17">
        <v>0.7</v>
      </c>
      <c r="V17">
        <f t="shared" si="0"/>
        <v>0</v>
      </c>
      <c r="W17">
        <v>423.12153785097257</v>
      </c>
      <c r="X17">
        <v>6.5716606028771229</v>
      </c>
      <c r="Y17">
        <f t="shared" si="1"/>
        <v>0</v>
      </c>
      <c r="Z17">
        <v>548.51737325432396</v>
      </c>
      <c r="AA17">
        <v>6.4956044740211896</v>
      </c>
      <c r="AB17">
        <f t="shared" si="2"/>
        <v>0</v>
      </c>
      <c r="AC17">
        <v>616.04252186306815</v>
      </c>
      <c r="AD17">
        <v>6.7581566840691893</v>
      </c>
      <c r="AE17">
        <f t="shared" si="3"/>
        <v>0</v>
      </c>
    </row>
    <row r="47" ht="30.75" customHeight="1" x14ac:dyDescent="0.2"/>
    <row r="49" spans="2:13" x14ac:dyDescent="0.2">
      <c r="B49" s="399" t="s">
        <v>184</v>
      </c>
      <c r="C49" s="399"/>
      <c r="D49" s="399"/>
      <c r="E49" s="399"/>
      <c r="F49" s="399"/>
      <c r="G49" s="399"/>
      <c r="H49" s="399"/>
      <c r="I49" s="399"/>
      <c r="J49" s="399"/>
      <c r="K49" s="399"/>
      <c r="L49" s="399"/>
      <c r="M49" s="399"/>
    </row>
    <row r="51" spans="2:13" x14ac:dyDescent="0.2">
      <c r="B51" t="s">
        <v>187</v>
      </c>
    </row>
    <row r="52" spans="2:13" x14ac:dyDescent="0.2">
      <c r="C52" t="s">
        <v>185</v>
      </c>
      <c r="D52" t="s">
        <v>186</v>
      </c>
      <c r="F52" t="s">
        <v>188</v>
      </c>
    </row>
    <row r="53" spans="2:13" x14ac:dyDescent="0.2">
      <c r="B53">
        <v>2017</v>
      </c>
      <c r="C53">
        <v>0</v>
      </c>
      <c r="D53">
        <v>0</v>
      </c>
      <c r="F53" s="19">
        <f>ROUNDUP(C53,-2)</f>
        <v>0</v>
      </c>
    </row>
    <row r="54" spans="2:13" x14ac:dyDescent="0.2">
      <c r="B54">
        <v>2018</v>
      </c>
      <c r="C54" s="20">
        <f>C53+C$57/4</f>
        <v>1819</v>
      </c>
      <c r="D54" s="19">
        <v>568</v>
      </c>
      <c r="F54" s="19">
        <f t="shared" ref="F54:F65" si="4">ROUNDUP(C54,-2)</f>
        <v>1900</v>
      </c>
      <c r="G54" s="19"/>
    </row>
    <row r="55" spans="2:13" x14ac:dyDescent="0.2">
      <c r="B55">
        <v>2019</v>
      </c>
      <c r="C55" s="20">
        <f>C54+C$57/4</f>
        <v>3638</v>
      </c>
      <c r="D55" s="19">
        <v>548</v>
      </c>
      <c r="F55" s="19">
        <f t="shared" si="4"/>
        <v>3700</v>
      </c>
      <c r="H55">
        <f t="shared" ref="H55:H65" si="5">D55/D54-1</f>
        <v>-3.5211267605633756E-2</v>
      </c>
    </row>
    <row r="56" spans="2:13" x14ac:dyDescent="0.2">
      <c r="B56">
        <v>2020</v>
      </c>
      <c r="C56" s="20">
        <f>C55+C$57/4</f>
        <v>5457</v>
      </c>
      <c r="D56" s="19">
        <v>535</v>
      </c>
      <c r="F56" s="19">
        <f t="shared" si="4"/>
        <v>5500</v>
      </c>
      <c r="G56" s="19"/>
      <c r="H56">
        <f t="shared" si="5"/>
        <v>-2.3722627737226332E-2</v>
      </c>
    </row>
    <row r="57" spans="2:13" x14ac:dyDescent="0.2">
      <c r="B57">
        <v>2021</v>
      </c>
      <c r="C57" s="19">
        <v>7276</v>
      </c>
      <c r="D57" s="19">
        <v>7352</v>
      </c>
      <c r="F57" s="19">
        <f t="shared" si="4"/>
        <v>7300</v>
      </c>
      <c r="H57">
        <f t="shared" si="5"/>
        <v>12.742056074766355</v>
      </c>
    </row>
    <row r="58" spans="2:13" x14ac:dyDescent="0.2">
      <c r="B58">
        <v>2022</v>
      </c>
      <c r="C58" s="19">
        <v>7239</v>
      </c>
      <c r="D58" s="19">
        <v>7269</v>
      </c>
      <c r="F58" s="19">
        <f t="shared" si="4"/>
        <v>7300</v>
      </c>
      <c r="H58">
        <f t="shared" si="5"/>
        <v>-1.1289445048966229E-2</v>
      </c>
    </row>
    <row r="59" spans="2:13" x14ac:dyDescent="0.2">
      <c r="B59">
        <v>2023</v>
      </c>
      <c r="C59" s="19">
        <v>6751</v>
      </c>
      <c r="D59" s="19">
        <v>6799</v>
      </c>
      <c r="F59" s="19">
        <f t="shared" si="4"/>
        <v>6800</v>
      </c>
      <c r="H59">
        <f t="shared" si="5"/>
        <v>-6.4658137295363849E-2</v>
      </c>
    </row>
    <row r="60" spans="2:13" x14ac:dyDescent="0.2">
      <c r="B60">
        <v>2024</v>
      </c>
      <c r="C60" s="19">
        <v>11306</v>
      </c>
      <c r="D60" s="19">
        <v>11134</v>
      </c>
      <c r="F60" s="19">
        <f t="shared" si="4"/>
        <v>11400</v>
      </c>
      <c r="H60">
        <f t="shared" si="5"/>
        <v>0.63759376378879251</v>
      </c>
    </row>
    <row r="61" spans="2:13" x14ac:dyDescent="0.2">
      <c r="B61">
        <v>2025</v>
      </c>
      <c r="C61" s="19">
        <v>11068</v>
      </c>
      <c r="D61" s="19">
        <v>10901</v>
      </c>
      <c r="F61" s="19">
        <f t="shared" si="4"/>
        <v>11100</v>
      </c>
      <c r="H61">
        <f t="shared" si="5"/>
        <v>-2.0926890605353021E-2</v>
      </c>
    </row>
    <row r="62" spans="2:13" x14ac:dyDescent="0.2">
      <c r="B62">
        <v>2026</v>
      </c>
      <c r="C62" s="19">
        <v>10857</v>
      </c>
      <c r="D62" s="19">
        <v>10712</v>
      </c>
      <c r="F62" s="19">
        <f t="shared" si="4"/>
        <v>10900</v>
      </c>
      <c r="H62">
        <f t="shared" si="5"/>
        <v>-1.7337858912026438E-2</v>
      </c>
    </row>
    <row r="63" spans="2:13" x14ac:dyDescent="0.2">
      <c r="B63">
        <v>2027</v>
      </c>
      <c r="C63" s="19">
        <v>13749</v>
      </c>
      <c r="D63" s="19">
        <v>13550</v>
      </c>
      <c r="F63" s="19">
        <f t="shared" si="4"/>
        <v>13800</v>
      </c>
      <c r="H63">
        <f t="shared" si="5"/>
        <v>0.26493651979088861</v>
      </c>
    </row>
    <row r="64" spans="2:13" x14ac:dyDescent="0.2">
      <c r="B64">
        <v>2028</v>
      </c>
      <c r="C64" s="20">
        <f>C63*D64/D63</f>
        <v>13423.285682656826</v>
      </c>
      <c r="D64" s="19">
        <v>13229</v>
      </c>
      <c r="F64" s="19">
        <f t="shared" si="4"/>
        <v>13500</v>
      </c>
      <c r="H64">
        <f t="shared" si="5"/>
        <v>-2.3690036900368971E-2</v>
      </c>
    </row>
    <row r="65" spans="2:8" x14ac:dyDescent="0.2">
      <c r="B65">
        <v>2029</v>
      </c>
      <c r="C65" s="20">
        <f>C64*D65/D64</f>
        <v>13281.229594095941</v>
      </c>
      <c r="D65" s="19">
        <v>13089</v>
      </c>
      <c r="F65" s="19">
        <f t="shared" si="4"/>
        <v>13300</v>
      </c>
      <c r="H65">
        <f t="shared" si="5"/>
        <v>-1.0582810492100636E-2</v>
      </c>
    </row>
    <row r="66" spans="2:8" x14ac:dyDescent="0.2">
      <c r="G66" s="19"/>
    </row>
    <row r="68" spans="2:8" x14ac:dyDescent="0.2">
      <c r="G68" s="19"/>
    </row>
    <row r="70" spans="2:8" x14ac:dyDescent="0.2">
      <c r="G70" s="19"/>
    </row>
    <row r="72" spans="2:8" x14ac:dyDescent="0.2">
      <c r="G72" s="19"/>
    </row>
    <row r="74" spans="2:8" x14ac:dyDescent="0.2">
      <c r="G74" s="19"/>
    </row>
    <row r="76" spans="2:8" x14ac:dyDescent="0.2">
      <c r="G76" s="19"/>
    </row>
  </sheetData>
  <dataConsolidate/>
  <mergeCells count="1">
    <mergeCell ref="B49:M49"/>
  </mergeCells>
  <dataValidations count="2">
    <dataValidation type="list" allowBlank="1" showInputMessage="1" showErrorMessage="1" sqref="B5" xr:uid="{97681BFD-1C0E-438D-8FDC-E4AC1968987F}">
      <formula1>Aero_Cost_list</formula1>
    </dataValidation>
    <dataValidation type="list" allowBlank="1" showInputMessage="1" showErrorMessage="1" sqref="A1" xr:uid="{55B6BA9D-D096-4F4B-A609-1D0C47C35794}">
      <formula1>Class_list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00DB6-9CA3-4A5F-AFA8-C8B9A753F06E}">
  <sheetPr codeName="Sheet3"/>
  <dimension ref="B2:Y52"/>
  <sheetViews>
    <sheetView topLeftCell="I16" workbookViewId="0">
      <selection activeCell="U52" sqref="U52"/>
    </sheetView>
  </sheetViews>
  <sheetFormatPr baseColWidth="10" defaultColWidth="9.1640625" defaultRowHeight="14" x14ac:dyDescent="0.2"/>
  <cols>
    <col min="1" max="1" width="9.1640625" style="22"/>
    <col min="2" max="2" width="21.6640625" style="22" bestFit="1" customWidth="1"/>
    <col min="3" max="3" width="5.5" style="22" bestFit="1" customWidth="1"/>
    <col min="4" max="4" width="9.1640625" style="22"/>
    <col min="5" max="5" width="48.33203125" style="22" bestFit="1" customWidth="1"/>
    <col min="6" max="16384" width="9.1640625" style="22"/>
  </cols>
  <sheetData>
    <row r="2" spans="2:23" x14ac:dyDescent="0.2">
      <c r="B2" s="132" t="s">
        <v>88</v>
      </c>
      <c r="C2" s="132"/>
      <c r="D2" s="22">
        <v>1.2</v>
      </c>
      <c r="G2" s="22" t="s">
        <v>110</v>
      </c>
      <c r="H2" s="22" t="s">
        <v>108</v>
      </c>
      <c r="I2" s="22" t="s">
        <v>109</v>
      </c>
      <c r="N2" s="22" t="s">
        <v>238</v>
      </c>
    </row>
    <row r="3" spans="2:23" x14ac:dyDescent="0.2">
      <c r="B3" s="132" t="s">
        <v>89</v>
      </c>
      <c r="C3" s="132"/>
      <c r="D3" s="22">
        <v>9.81</v>
      </c>
      <c r="G3" s="22">
        <v>2021</v>
      </c>
      <c r="H3" s="22">
        <v>302.42</v>
      </c>
      <c r="I3" s="22">
        <v>49.23</v>
      </c>
      <c r="N3" s="240" t="s">
        <v>228</v>
      </c>
      <c r="O3" s="241" t="s">
        <v>228</v>
      </c>
      <c r="P3" s="242" t="s">
        <v>228</v>
      </c>
      <c r="Q3" s="240" t="s">
        <v>229</v>
      </c>
      <c r="R3" s="241" t="s">
        <v>229</v>
      </c>
      <c r="S3" s="242" t="s">
        <v>229</v>
      </c>
      <c r="T3" s="240" t="s">
        <v>230</v>
      </c>
      <c r="U3" s="241" t="s">
        <v>230</v>
      </c>
      <c r="V3" s="242" t="s">
        <v>230</v>
      </c>
    </row>
    <row r="4" spans="2:23" x14ac:dyDescent="0.2">
      <c r="B4" s="132" t="s">
        <v>90</v>
      </c>
      <c r="C4" s="132"/>
      <c r="D4" s="22">
        <v>2.2368999999999999</v>
      </c>
      <c r="G4" s="22">
        <v>2025</v>
      </c>
      <c r="H4" s="22">
        <v>209.67</v>
      </c>
      <c r="I4" s="22">
        <v>43.74</v>
      </c>
      <c r="N4" s="240" t="s">
        <v>231</v>
      </c>
      <c r="O4" s="241" t="s">
        <v>232</v>
      </c>
      <c r="P4" s="242" t="s">
        <v>233</v>
      </c>
      <c r="Q4" s="240" t="s">
        <v>231</v>
      </c>
      <c r="R4" s="241" t="s">
        <v>232</v>
      </c>
      <c r="S4" s="242" t="s">
        <v>233</v>
      </c>
      <c r="T4" s="240" t="s">
        <v>231</v>
      </c>
      <c r="U4" s="241" t="s">
        <v>232</v>
      </c>
      <c r="V4" s="242" t="s">
        <v>233</v>
      </c>
    </row>
    <row r="5" spans="2:23" x14ac:dyDescent="0.2">
      <c r="B5" s="132" t="s">
        <v>91</v>
      </c>
      <c r="C5" s="132"/>
      <c r="D5" s="22">
        <v>32.72</v>
      </c>
      <c r="G5" s="22">
        <v>2030</v>
      </c>
      <c r="H5" s="22">
        <v>132.63999999999999</v>
      </c>
      <c r="I5" s="22">
        <v>37.72</v>
      </c>
      <c r="M5" s="24" t="s">
        <v>83</v>
      </c>
      <c r="N5" s="243">
        <v>0.2</v>
      </c>
      <c r="O5" s="244">
        <v>0.54</v>
      </c>
      <c r="P5" s="245">
        <v>0.9</v>
      </c>
      <c r="Q5" s="243">
        <v>0.2</v>
      </c>
      <c r="R5" s="244">
        <v>0.54</v>
      </c>
      <c r="S5" s="245">
        <v>0.92</v>
      </c>
      <c r="T5" s="243">
        <v>0.2</v>
      </c>
      <c r="U5" s="244">
        <v>0.54</v>
      </c>
      <c r="V5" s="245">
        <v>0.92</v>
      </c>
    </row>
    <row r="6" spans="2:23" x14ac:dyDescent="0.2">
      <c r="B6" s="132" t="s">
        <v>92</v>
      </c>
      <c r="C6" s="132"/>
      <c r="D6" s="22">
        <v>33.700000000000003</v>
      </c>
      <c r="E6" s="132" t="s">
        <v>93</v>
      </c>
      <c r="G6" s="22">
        <v>2050</v>
      </c>
      <c r="H6" s="22">
        <v>50</v>
      </c>
      <c r="I6" s="22">
        <v>20.86</v>
      </c>
      <c r="M6" s="24" t="s">
        <v>82</v>
      </c>
      <c r="N6" s="243">
        <v>0.24</v>
      </c>
      <c r="O6" s="244">
        <v>0.23</v>
      </c>
      <c r="P6" s="245">
        <v>0.1</v>
      </c>
      <c r="Q6" s="243">
        <v>0.24</v>
      </c>
      <c r="R6" s="244">
        <v>0.28999999999999998</v>
      </c>
      <c r="S6" s="245">
        <v>0.08</v>
      </c>
      <c r="T6" s="243">
        <v>0.24</v>
      </c>
      <c r="U6" s="244">
        <v>0.28999999999999998</v>
      </c>
      <c r="V6" s="245">
        <v>0.08</v>
      </c>
    </row>
    <row r="7" spans="2:23" x14ac:dyDescent="0.2">
      <c r="B7" s="132" t="s">
        <v>94</v>
      </c>
      <c r="C7" s="132"/>
      <c r="D7" s="177">
        <v>37.9527</v>
      </c>
      <c r="E7" s="132" t="s">
        <v>95</v>
      </c>
      <c r="M7" s="24" t="s">
        <v>81</v>
      </c>
      <c r="N7" s="246">
        <v>0.56000000000000005</v>
      </c>
      <c r="O7" s="247">
        <v>0.23</v>
      </c>
      <c r="P7" s="248">
        <v>0</v>
      </c>
      <c r="Q7" s="246">
        <v>0.56000000000000005</v>
      </c>
      <c r="R7" s="247">
        <v>0.17</v>
      </c>
      <c r="S7" s="248">
        <v>0</v>
      </c>
      <c r="T7" s="246">
        <v>0.56000000000000005</v>
      </c>
      <c r="U7" s="247">
        <v>0.17</v>
      </c>
      <c r="V7" s="248">
        <v>0</v>
      </c>
    </row>
    <row r="8" spans="2:23" x14ac:dyDescent="0.2">
      <c r="B8" s="132" t="s">
        <v>96</v>
      </c>
      <c r="C8" s="132"/>
      <c r="D8" s="22">
        <v>1609</v>
      </c>
      <c r="M8" s="24" t="s">
        <v>275</v>
      </c>
      <c r="N8" s="261">
        <v>0</v>
      </c>
      <c r="O8" s="262">
        <v>0.17</v>
      </c>
      <c r="P8" s="263">
        <v>0.15</v>
      </c>
      <c r="Q8" s="261">
        <v>0</v>
      </c>
      <c r="R8" s="262">
        <v>0.17</v>
      </c>
      <c r="S8" s="263">
        <v>0.15</v>
      </c>
      <c r="T8" s="261">
        <v>0</v>
      </c>
      <c r="U8" s="262">
        <v>0.17</v>
      </c>
      <c r="V8" s="263">
        <v>0.15</v>
      </c>
    </row>
    <row r="9" spans="2:23" x14ac:dyDescent="0.2">
      <c r="B9" s="132" t="s">
        <v>97</v>
      </c>
      <c r="C9" s="132"/>
      <c r="D9" s="22">
        <v>39.369999999999997</v>
      </c>
      <c r="M9" s="24" t="s">
        <v>276</v>
      </c>
      <c r="N9" s="246">
        <v>0.25</v>
      </c>
      <c r="O9" s="247">
        <v>0.25</v>
      </c>
      <c r="P9" s="248">
        <v>0.25</v>
      </c>
      <c r="Q9" s="246">
        <v>0.25</v>
      </c>
      <c r="R9" s="247">
        <v>0.25</v>
      </c>
      <c r="S9" s="248">
        <v>0.25</v>
      </c>
      <c r="T9" s="246">
        <v>0.25</v>
      </c>
      <c r="U9" s="247">
        <v>0.25</v>
      </c>
      <c r="V9" s="248">
        <v>0.25</v>
      </c>
    </row>
    <row r="10" spans="2:23" x14ac:dyDescent="0.2">
      <c r="B10" s="132" t="s">
        <v>98</v>
      </c>
      <c r="C10" s="132"/>
      <c r="D10" s="22">
        <v>13.1</v>
      </c>
      <c r="E10" s="22" t="s">
        <v>99</v>
      </c>
    </row>
    <row r="11" spans="2:23" x14ac:dyDescent="0.2">
      <c r="B11" s="132" t="s">
        <v>100</v>
      </c>
      <c r="C11" s="132"/>
      <c r="D11" s="22">
        <v>12.61</v>
      </c>
      <c r="E11" s="22" t="s">
        <v>99</v>
      </c>
      <c r="N11" s="22" t="s">
        <v>231</v>
      </c>
      <c r="O11" s="22" t="s">
        <v>232</v>
      </c>
      <c r="P11" s="22" t="s">
        <v>233</v>
      </c>
      <c r="Q11" s="22" t="s">
        <v>231</v>
      </c>
      <c r="R11" s="22" t="s">
        <v>232</v>
      </c>
      <c r="S11" s="22" t="s">
        <v>233</v>
      </c>
      <c r="T11" s="22" t="s">
        <v>231</v>
      </c>
      <c r="U11" s="22" t="s">
        <v>232</v>
      </c>
      <c r="V11" s="22" t="s">
        <v>233</v>
      </c>
    </row>
    <row r="12" spans="2:23" x14ac:dyDescent="0.2">
      <c r="B12" s="132" t="s">
        <v>101</v>
      </c>
      <c r="D12" s="252">
        <v>0.3</v>
      </c>
      <c r="M12" s="24" t="s">
        <v>239</v>
      </c>
      <c r="N12" s="249">
        <v>0.26315789473684209</v>
      </c>
      <c r="O12" s="250">
        <v>0.42105263157894735</v>
      </c>
      <c r="P12" s="251">
        <v>0.31578947368421051</v>
      </c>
      <c r="Q12" s="249">
        <v>0.27027027027027029</v>
      </c>
      <c r="R12" s="250">
        <v>0.29729729729729731</v>
      </c>
      <c r="S12" s="251">
        <v>0.43243243243243246</v>
      </c>
      <c r="T12" s="249">
        <v>0.25</v>
      </c>
      <c r="U12" s="250">
        <v>0.34090909090909088</v>
      </c>
      <c r="V12" s="251">
        <v>0.40909090909090906</v>
      </c>
    </row>
    <row r="13" spans="2:23" x14ac:dyDescent="0.2">
      <c r="B13" s="132" t="s">
        <v>102</v>
      </c>
      <c r="D13" s="22">
        <v>3.7854000000000001</v>
      </c>
      <c r="M13" s="24" t="s">
        <v>234</v>
      </c>
      <c r="N13" s="249">
        <v>0.05</v>
      </c>
      <c r="O13" s="250">
        <v>0.08</v>
      </c>
      <c r="P13" s="250">
        <v>0.06</v>
      </c>
      <c r="Q13" s="250">
        <v>0.1</v>
      </c>
      <c r="R13" s="250">
        <v>0.11</v>
      </c>
      <c r="S13" s="250">
        <v>0.16</v>
      </c>
      <c r="T13" s="250">
        <v>0.11</v>
      </c>
      <c r="U13" s="250">
        <v>0.15</v>
      </c>
      <c r="V13" s="251">
        <v>0.18</v>
      </c>
      <c r="W13" s="22" t="str">
        <f>"&lt;&lt; sum = "&amp;TEXT(SUM(N13:V13),"0.00%")</f>
        <v>&lt;&lt; sum = 100.00%</v>
      </c>
    </row>
    <row r="14" spans="2:23" x14ac:dyDescent="0.2">
      <c r="B14" s="132" t="s">
        <v>103</v>
      </c>
      <c r="C14" s="203">
        <f>0.5*vehKg*(27^2)/(3600*1000)</f>
        <v>0</v>
      </c>
      <c r="N14" s="240" t="s">
        <v>235</v>
      </c>
      <c r="O14" s="241"/>
      <c r="P14" s="242"/>
      <c r="Q14" s="240" t="s">
        <v>236</v>
      </c>
      <c r="R14" s="241"/>
      <c r="S14" s="242"/>
      <c r="T14" s="240" t="s">
        <v>237</v>
      </c>
      <c r="U14" s="241"/>
      <c r="V14" s="242"/>
    </row>
    <row r="17" spans="2:25" x14ac:dyDescent="0.2">
      <c r="B17" s="132" t="s">
        <v>120</v>
      </c>
      <c r="D17" s="177">
        <f>3167*43.247/3600</f>
        <v>38.045346944444447</v>
      </c>
      <c r="E17" s="132" t="s">
        <v>121</v>
      </c>
    </row>
    <row r="18" spans="2:25" x14ac:dyDescent="0.2">
      <c r="B18" s="132" t="s">
        <v>130</v>
      </c>
      <c r="D18" s="177">
        <f>D17/D7</f>
        <v>1.0024411160324416</v>
      </c>
    </row>
    <row r="19" spans="2:25" x14ac:dyDescent="0.2">
      <c r="B19" s="22" t="s">
        <v>125</v>
      </c>
      <c r="D19" s="22">
        <v>138700</v>
      </c>
      <c r="N19" s="133" t="s">
        <v>263</v>
      </c>
    </row>
    <row r="20" spans="2:25" x14ac:dyDescent="0.2">
      <c r="B20" s="22" t="s">
        <v>127</v>
      </c>
      <c r="D20" s="22">
        <v>0.29307</v>
      </c>
      <c r="P20" s="22" t="s">
        <v>242</v>
      </c>
      <c r="T20" s="22" t="s">
        <v>243</v>
      </c>
    </row>
    <row r="21" spans="2:25" ht="30" x14ac:dyDescent="0.2">
      <c r="B21" s="22" t="s">
        <v>126</v>
      </c>
      <c r="D21" s="22">
        <f>D19*D20/1000</f>
        <v>40.648809</v>
      </c>
      <c r="N21" s="133" t="s">
        <v>244</v>
      </c>
      <c r="O21" s="226" t="s">
        <v>245</v>
      </c>
      <c r="P21" s="133">
        <v>2010</v>
      </c>
      <c r="Q21" s="133">
        <v>2014</v>
      </c>
      <c r="R21" s="133">
        <v>2017</v>
      </c>
      <c r="S21" s="133" t="s">
        <v>246</v>
      </c>
      <c r="T21" s="227">
        <v>2017</v>
      </c>
      <c r="U21" s="133">
        <v>2021</v>
      </c>
      <c r="V21" s="133">
        <v>2024</v>
      </c>
      <c r="W21" s="133">
        <v>2027</v>
      </c>
    </row>
    <row r="22" spans="2:25" x14ac:dyDescent="0.2">
      <c r="N22" s="133" t="s">
        <v>247</v>
      </c>
      <c r="T22" s="192" t="s">
        <v>248</v>
      </c>
    </row>
    <row r="23" spans="2:25" x14ac:dyDescent="0.2">
      <c r="B23" s="22" t="s">
        <v>128</v>
      </c>
      <c r="D23" s="22">
        <f>D21/D17</f>
        <v>1.0684304984616713</v>
      </c>
      <c r="N23" s="23" t="s">
        <v>249</v>
      </c>
      <c r="P23" s="228">
        <v>5.7615302624377023</v>
      </c>
      <c r="Q23" s="228">
        <v>7.224650507531698</v>
      </c>
      <c r="R23" s="228">
        <v>7.4285926531218651</v>
      </c>
      <c r="S23" s="228"/>
      <c r="T23" s="229" cm="1">
        <f t="array" ref="T23">1/SUM(($X$24:$X$26)/(T24:T26))</f>
        <v>6.1216038734375058</v>
      </c>
      <c r="U23" s="228" cm="1">
        <f t="array" ref="U23">1/SUM(($X$24:$X$26)/(U24:U26))</f>
        <v>7.0984299962274688</v>
      </c>
      <c r="V23" s="228" cm="1">
        <f t="array" ref="V23">1/SUM(($X$24:$X$26)/(V24:V26))</f>
        <v>7.5762095081338403</v>
      </c>
      <c r="W23" s="228" cm="1">
        <f t="array" ref="W23">1/SUM(($X$24:$X$26)/(W24:W26))</f>
        <v>8.2025293746111068</v>
      </c>
      <c r="X23" s="22" t="s">
        <v>264</v>
      </c>
      <c r="Y23" s="22" t="s">
        <v>265</v>
      </c>
    </row>
    <row r="24" spans="2:25" x14ac:dyDescent="0.2">
      <c r="B24" s="253" t="s">
        <v>129</v>
      </c>
      <c r="N24" s="176" t="s">
        <v>250</v>
      </c>
      <c r="O24" s="230">
        <v>38000</v>
      </c>
      <c r="P24" s="177">
        <v>6.7476383265856947</v>
      </c>
      <c r="Q24" s="177">
        <v>7.855459544383347</v>
      </c>
      <c r="R24" s="177">
        <v>8.097165991902834</v>
      </c>
      <c r="S24" s="177"/>
      <c r="T24" s="208">
        <v>6.3784488033487872</v>
      </c>
      <c r="U24" s="178">
        <v>7.4106439375300512</v>
      </c>
      <c r="V24" s="177">
        <v>7.8792619715930554</v>
      </c>
      <c r="W24" s="177">
        <v>8.3586502919592949</v>
      </c>
      <c r="X24" s="254">
        <v>0.2</v>
      </c>
    </row>
    <row r="25" spans="2:25" x14ac:dyDescent="0.2">
      <c r="N25" s="176" t="s">
        <v>251</v>
      </c>
      <c r="O25" s="230">
        <v>38000</v>
      </c>
      <c r="P25" s="177">
        <v>6.0496067755595888</v>
      </c>
      <c r="Q25" s="177">
        <v>7.1123755334281649</v>
      </c>
      <c r="R25" s="177">
        <v>7.3099415204678362</v>
      </c>
      <c r="S25" s="177"/>
      <c r="T25" s="208">
        <v>5.9400168779639575</v>
      </c>
      <c r="U25" s="178">
        <v>6.8690980709374507</v>
      </c>
      <c r="V25" s="177">
        <v>7.2896519890981786</v>
      </c>
      <c r="W25" s="177">
        <v>7.6981191801256728</v>
      </c>
      <c r="X25" s="254">
        <v>0.2</v>
      </c>
    </row>
    <row r="26" spans="2:25" x14ac:dyDescent="0.2">
      <c r="N26" s="176" t="s">
        <v>252</v>
      </c>
      <c r="O26" s="230">
        <v>38000</v>
      </c>
      <c r="P26" s="177">
        <v>5.6593095642331637</v>
      </c>
      <c r="Q26" s="177">
        <v>7.2098053352559486</v>
      </c>
      <c r="R26" s="177">
        <v>7.4128984432913274</v>
      </c>
      <c r="S26" s="177"/>
      <c r="T26" s="208">
        <v>6.1018795436501927</v>
      </c>
      <c r="U26" s="178">
        <v>7.0777995262828766</v>
      </c>
      <c r="V26" s="177">
        <v>7.5783520130869038</v>
      </c>
      <c r="W26" s="177">
        <v>8.3326465843773381</v>
      </c>
      <c r="X26" s="254">
        <v>0.6</v>
      </c>
    </row>
    <row r="27" spans="2:25" x14ac:dyDescent="0.2">
      <c r="N27" s="231" t="s">
        <v>253</v>
      </c>
      <c r="P27" s="229">
        <v>5.6270398019281993</v>
      </c>
      <c r="Q27" s="228">
        <v>6.2163282221301284</v>
      </c>
      <c r="R27" s="228">
        <v>6.4028684850813162</v>
      </c>
      <c r="S27" s="228"/>
      <c r="T27" s="229" cm="1">
        <f t="array" ref="T27">SUM($X$28:$X$30)/SUM(($X$28:$X$30)/(T28:T30))</f>
        <v>5.5522209533423226</v>
      </c>
      <c r="U27" s="255" cm="1">
        <f t="array" ref="U27">SUM($X$28:$X$30)/SUM(($X$28:$X$30)/(U28:U30))</f>
        <v>6.3377057672438006</v>
      </c>
      <c r="V27" s="255" cm="1">
        <f t="array" ref="V27">SUM($X$28:$X$30)/SUM(($X$28:$X$30)/(V28:V30))</f>
        <v>6.7259531637444319</v>
      </c>
      <c r="W27" s="255" cm="1">
        <f t="array" ref="W27">SUM($X$28:$X$30)/SUM(($X$28:$X$30)/(W28:W30))</f>
        <v>7.0777995262828766</v>
      </c>
    </row>
    <row r="28" spans="2:25" x14ac:dyDescent="0.2">
      <c r="B28" s="22" t="s">
        <v>174</v>
      </c>
      <c r="N28" s="176" t="s">
        <v>250</v>
      </c>
      <c r="O28" s="230">
        <v>38000</v>
      </c>
      <c r="P28" s="177">
        <v>6.0496067755595888</v>
      </c>
      <c r="Q28" s="177">
        <v>6.5789473684210531</v>
      </c>
      <c r="R28" s="177">
        <v>6.7476383265856947</v>
      </c>
      <c r="S28" s="177"/>
      <c r="T28" s="208">
        <v>5.868447137879107</v>
      </c>
      <c r="U28" s="177">
        <v>6.6557716122555117</v>
      </c>
      <c r="V28" s="177">
        <v>7.0313534378009637</v>
      </c>
      <c r="W28" s="177">
        <v>7.2995801719459914</v>
      </c>
      <c r="X28" s="254">
        <v>0.18581829481573603</v>
      </c>
    </row>
    <row r="29" spans="2:25" x14ac:dyDescent="0.2">
      <c r="B29" s="22" t="s">
        <v>165</v>
      </c>
      <c r="N29" s="176" t="s">
        <v>251</v>
      </c>
      <c r="O29" s="230">
        <v>38000</v>
      </c>
      <c r="P29" s="177">
        <v>5.5991041433370663</v>
      </c>
      <c r="Q29" s="177">
        <v>6.0496067755595888</v>
      </c>
      <c r="R29" s="177">
        <v>6.2656641604010028</v>
      </c>
      <c r="S29" s="177"/>
      <c r="T29" s="208">
        <v>5.5464775125557004</v>
      </c>
      <c r="U29" s="177">
        <v>6.2738799555809299</v>
      </c>
      <c r="V29" s="177">
        <v>6.6228652435674586</v>
      </c>
      <c r="W29" s="177">
        <v>6.8690980709374507</v>
      </c>
      <c r="X29" s="254">
        <v>0.18581829481573603</v>
      </c>
    </row>
    <row r="30" spans="2:25" x14ac:dyDescent="0.2">
      <c r="B30" s="22" t="s">
        <v>166</v>
      </c>
      <c r="N30" s="176" t="s">
        <v>252</v>
      </c>
      <c r="O30" s="230">
        <v>38000</v>
      </c>
      <c r="P30" s="177">
        <v>5.2110474205315267</v>
      </c>
      <c r="Q30" s="177">
        <v>5.8479532163742682</v>
      </c>
      <c r="R30" s="177">
        <v>6.0496067755595888</v>
      </c>
      <c r="S30" s="177"/>
      <c r="T30" s="208">
        <v>5.4561020308539305</v>
      </c>
      <c r="U30" s="177">
        <v>6.2592260992703235</v>
      </c>
      <c r="V30" s="177">
        <v>6.6640472518268812</v>
      </c>
      <c r="W30" s="177">
        <v>7.0777995262828766</v>
      </c>
      <c r="X30" s="254">
        <v>0.55745488444720803</v>
      </c>
    </row>
    <row r="31" spans="2:25" x14ac:dyDescent="0.2">
      <c r="B31" s="22" t="s">
        <v>167</v>
      </c>
      <c r="N31" s="231" t="s">
        <v>254</v>
      </c>
      <c r="P31" s="229">
        <v>6.3021316033364236</v>
      </c>
      <c r="Q31" s="228">
        <v>6.9565217391304346</v>
      </c>
      <c r="R31" s="228">
        <v>7.1805702217529053</v>
      </c>
      <c r="S31" s="228"/>
      <c r="T31" s="229">
        <f t="array" ref="T31">SUM($X$32:$X$34)/SUM(($X$32:$X$34)/(T32:T34))</f>
        <v>6.4085608118749358</v>
      </c>
      <c r="U31" s="255">
        <f t="array" ref="U31">SUM($X$32:$X$34)/SUM(($X$32:$X$34)/(U32:U34))</f>
        <v>7.2818322109299212</v>
      </c>
      <c r="V31" s="255">
        <f t="array" ref="V31">SUM($X$32:$X$34)/SUM(($X$32:$X$34)/(V32:V34))</f>
        <v>7.7311567550015736</v>
      </c>
      <c r="W31" s="255">
        <f t="array" ref="W31">SUM($X$32:$X$34)/SUM(($X$32:$X$34)/(W32:W34))</f>
        <v>8.1505222141464131</v>
      </c>
    </row>
    <row r="32" spans="2:25" x14ac:dyDescent="0.2">
      <c r="N32" s="176" t="s">
        <v>250</v>
      </c>
      <c r="O32" s="230">
        <v>25000</v>
      </c>
      <c r="P32" s="177">
        <v>7.0175438596491233</v>
      </c>
      <c r="Q32" s="177">
        <v>7.6190476190476186</v>
      </c>
      <c r="R32" s="177">
        <v>7.8431372549019622</v>
      </c>
      <c r="S32" s="177"/>
      <c r="T32" s="208">
        <v>6.8379516573912698</v>
      </c>
      <c r="U32" s="177">
        <v>7.7194296113460181</v>
      </c>
      <c r="V32" s="177">
        <v>8.1603175995609742</v>
      </c>
      <c r="W32" s="177">
        <v>8.4656980497148115</v>
      </c>
      <c r="X32" s="254">
        <v>1.4181705184263987E-2</v>
      </c>
    </row>
    <row r="33" spans="14:25" x14ac:dyDescent="0.2">
      <c r="N33" s="176" t="s">
        <v>251</v>
      </c>
      <c r="O33" s="230">
        <v>25000</v>
      </c>
      <c r="P33" s="177">
        <v>6.3492063492063489</v>
      </c>
      <c r="Q33" s="177">
        <v>6.8376068376068382</v>
      </c>
      <c r="R33" s="177">
        <v>7.0796460176991154</v>
      </c>
      <c r="S33" s="177"/>
      <c r="T33" s="208">
        <v>6.4025149078558057</v>
      </c>
      <c r="U33" s="177">
        <v>7.1943481201168371</v>
      </c>
      <c r="V33" s="177">
        <v>7.604107358589741</v>
      </c>
      <c r="W33" s="177">
        <v>7.8762096135045478</v>
      </c>
      <c r="X33" s="254">
        <v>1.4181705184263987E-2</v>
      </c>
    </row>
    <row r="34" spans="14:25" x14ac:dyDescent="0.2">
      <c r="N34" s="176" t="s">
        <v>252</v>
      </c>
      <c r="O34" s="230">
        <v>25000</v>
      </c>
      <c r="P34" s="177">
        <v>5.8823529411764701</v>
      </c>
      <c r="Q34" s="177">
        <v>6.557377049180328</v>
      </c>
      <c r="R34" s="177">
        <v>6.7796610169491531</v>
      </c>
      <c r="S34" s="177"/>
      <c r="T34" s="208">
        <v>6.2791046310751319</v>
      </c>
      <c r="U34" s="177">
        <v>7.1753319263703306</v>
      </c>
      <c r="V34" s="177">
        <v>7.6397768803162087</v>
      </c>
      <c r="W34" s="177">
        <v>8.1440022477446199</v>
      </c>
      <c r="X34" s="254">
        <v>4.2545115552791959E-2</v>
      </c>
    </row>
    <row r="35" spans="14:25" x14ac:dyDescent="0.2">
      <c r="N35" s="231" t="s">
        <v>255</v>
      </c>
      <c r="O35" s="230">
        <v>86000</v>
      </c>
      <c r="R35" s="177"/>
      <c r="S35" s="177"/>
      <c r="T35" s="208">
        <v>4.160252943378957</v>
      </c>
      <c r="U35" s="177">
        <v>4.5180168345825269</v>
      </c>
      <c r="V35" s="177">
        <v>4.7160174628467431</v>
      </c>
      <c r="W35" s="177">
        <v>4.9015331015234942</v>
      </c>
    </row>
    <row r="36" spans="14:25" x14ac:dyDescent="0.2">
      <c r="N36" s="232" t="s">
        <v>256</v>
      </c>
      <c r="T36" s="192"/>
    </row>
    <row r="37" spans="14:25" x14ac:dyDescent="0.2">
      <c r="N37" s="231" t="s">
        <v>257</v>
      </c>
      <c r="O37" s="230">
        <v>15000</v>
      </c>
      <c r="P37" s="177">
        <v>5.7471264367816097</v>
      </c>
      <c r="R37" s="177">
        <v>6.1162079510703364</v>
      </c>
      <c r="S37" s="177"/>
      <c r="T37" s="233" cm="1">
        <f t="array" ref="T37">SUM($X$38:$X$40)/SUM(($X$38:$X$40)/(T38:T40))</f>
        <v>4.7546708697957154</v>
      </c>
      <c r="U37" s="234" cm="1">
        <f t="array" ref="U37">SUM($X$38:$X$40)/SUM(($X$38:$X$40)/(U38:U40))</f>
        <v>5.1984163708528346</v>
      </c>
      <c r="V37" s="234" cm="1">
        <f t="array" ref="V37">SUM($X$38:$X$40)/SUM(($X$38:$X$40)/(V38:V40))</f>
        <v>5.6015050949374041</v>
      </c>
      <c r="W37" s="234" cm="1">
        <f t="array" ref="W37">SUM($X$38:$X$40)/SUM(($X$38:$X$40)/(W38:W40))</f>
        <v>5.8625446189785695</v>
      </c>
      <c r="X37" s="22" t="s">
        <v>268</v>
      </c>
    </row>
    <row r="38" spans="14:25" x14ac:dyDescent="0.2">
      <c r="N38" s="176" t="s">
        <v>258</v>
      </c>
      <c r="O38" s="230">
        <v>15000</v>
      </c>
      <c r="T38" s="208">
        <v>4.0157739601153333</v>
      </c>
      <c r="U38" s="177">
        <v>4.4069268075561165</v>
      </c>
      <c r="V38" s="177">
        <v>4.7962320800778908</v>
      </c>
      <c r="W38" s="177">
        <v>5.0458414697527036</v>
      </c>
      <c r="X38" s="22">
        <v>0.06</v>
      </c>
    </row>
    <row r="39" spans="14:25" x14ac:dyDescent="0.2">
      <c r="N39" s="176" t="s">
        <v>259</v>
      </c>
      <c r="O39" s="230">
        <v>15000</v>
      </c>
      <c r="T39" s="208">
        <v>4.7293902042505396</v>
      </c>
      <c r="U39" s="177">
        <v>5.2005122504566703</v>
      </c>
      <c r="V39" s="177">
        <v>5.6088159368896031</v>
      </c>
      <c r="W39" s="177">
        <v>5.9014545610129261</v>
      </c>
      <c r="X39" s="22">
        <v>0.08</v>
      </c>
    </row>
    <row r="40" spans="14:25" x14ac:dyDescent="0.2">
      <c r="N40" s="235" t="s">
        <v>260</v>
      </c>
      <c r="O40" s="236">
        <v>15000</v>
      </c>
      <c r="P40" s="237"/>
      <c r="Q40" s="237"/>
      <c r="R40" s="237"/>
      <c r="S40" s="237"/>
      <c r="T40" s="238">
        <v>6.1696975305785626</v>
      </c>
      <c r="U40" s="239">
        <v>6.6211462859507551</v>
      </c>
      <c r="V40" s="239">
        <v>6.9965541970579483</v>
      </c>
      <c r="W40" s="239">
        <v>7.1816637760469959</v>
      </c>
      <c r="X40" s="22">
        <v>0.05</v>
      </c>
    </row>
    <row r="41" spans="14:25" x14ac:dyDescent="0.2">
      <c r="N41" s="231" t="s">
        <v>261</v>
      </c>
      <c r="O41" s="230">
        <v>11200</v>
      </c>
      <c r="P41" s="177">
        <v>7.3486184597295701</v>
      </c>
      <c r="R41" s="177">
        <v>8.0801551389786663</v>
      </c>
      <c r="S41" s="177"/>
      <c r="T41" s="233" cm="1">
        <f t="array" ref="T41">SUM($X$42:$X$44)/SUM(($X$42:$X$44)/(T42:T44))</f>
        <v>6.0946599656769838</v>
      </c>
      <c r="U41" s="234" cm="1">
        <f t="array" ref="U41">SUM($X$42:$X$44)/SUM(($X$42:$X$44)/(U42:U44))</f>
        <v>6.7321384721553654</v>
      </c>
      <c r="V41" s="234" cm="1">
        <f t="array" ref="V41">SUM($X$42:$X$44)/SUM(($X$42:$X$44)/(V42:V44))</f>
        <v>7.2698652250296014</v>
      </c>
      <c r="W41" s="234" cm="1">
        <f t="array" ref="W41">SUM($X$42:$X$44)/SUM(($X$42:$X$44)/(W42:W44))</f>
        <v>7.563335246707247</v>
      </c>
      <c r="Y41" s="22" t="s">
        <v>271</v>
      </c>
    </row>
    <row r="42" spans="14:25" x14ac:dyDescent="0.2">
      <c r="N42" s="176" t="s">
        <v>258</v>
      </c>
      <c r="O42" s="230">
        <v>11200</v>
      </c>
      <c r="T42" s="208">
        <v>5.4754677144521686</v>
      </c>
      <c r="U42" s="177">
        <v>6.1414136649893241</v>
      </c>
      <c r="V42" s="177">
        <v>6.7079662734188528</v>
      </c>
      <c r="W42" s="177">
        <v>7.0459610860024382</v>
      </c>
      <c r="X42" s="22">
        <v>0.16</v>
      </c>
      <c r="Y42" s="22">
        <f>X42/2</f>
        <v>0.08</v>
      </c>
    </row>
    <row r="43" spans="14:25" x14ac:dyDescent="0.2">
      <c r="N43" s="176" t="s">
        <v>259</v>
      </c>
      <c r="O43" s="230">
        <v>11200</v>
      </c>
      <c r="T43" s="208">
        <v>6.1831783911270897</v>
      </c>
      <c r="U43" s="177">
        <v>6.8598472833358404</v>
      </c>
      <c r="V43" s="177">
        <v>7.3896721941414683</v>
      </c>
      <c r="W43" s="177">
        <v>7.7355553974064231</v>
      </c>
      <c r="X43" s="22">
        <v>0.11</v>
      </c>
      <c r="Y43" s="22">
        <f>X43/2</f>
        <v>5.5E-2</v>
      </c>
    </row>
    <row r="44" spans="14:25" x14ac:dyDescent="0.2">
      <c r="N44" s="235" t="s">
        <v>260</v>
      </c>
      <c r="O44" s="236">
        <v>11200</v>
      </c>
      <c r="P44" s="237"/>
      <c r="Q44" s="237"/>
      <c r="R44" s="237"/>
      <c r="S44" s="237"/>
      <c r="T44" s="238">
        <v>7.3006385430495291</v>
      </c>
      <c r="U44" s="239">
        <v>7.7686363370817517</v>
      </c>
      <c r="V44" s="239">
        <v>8.2256107351458638</v>
      </c>
      <c r="W44" s="239">
        <v>8.3388091513427138</v>
      </c>
      <c r="X44" s="22">
        <v>0.1</v>
      </c>
      <c r="Y44" s="22">
        <f>X44/2</f>
        <v>0.05</v>
      </c>
    </row>
    <row r="45" spans="14:25" x14ac:dyDescent="0.2">
      <c r="N45" s="23" t="s">
        <v>262</v>
      </c>
      <c r="O45" s="230">
        <v>5700</v>
      </c>
      <c r="P45" s="177">
        <v>8.7719298245614024</v>
      </c>
      <c r="R45" s="177">
        <v>9.5606864572876322</v>
      </c>
      <c r="S45" s="177"/>
      <c r="T45" s="233">
        <f t="array" ref="T45">SUM($X$46:$X$48)/SUM(($X$46:$X$48)/(T46:T48))</f>
        <v>8.427075692405646</v>
      </c>
      <c r="U45" s="234">
        <f t="array" ref="U45">SUM($X$46:$X$48)/SUM(($X$46:$X$48)/(U46:U48))</f>
        <v>9.4404649308827082</v>
      </c>
      <c r="V45" s="234">
        <f t="array" ref="V45">SUM($X$46:$X$48)/SUM(($X$46:$X$48)/(V46:V48))</f>
        <v>10.241426083202615</v>
      </c>
      <c r="W45" s="234">
        <f t="array" ref="W45">SUM($X$46:$X$48)/SUM(($X$46:$X$48)/(W46:W48))</f>
        <v>10.650188617381934</v>
      </c>
      <c r="X45" s="22" t="s">
        <v>267</v>
      </c>
      <c r="Y45" s="22" t="s">
        <v>272</v>
      </c>
    </row>
    <row r="46" spans="14:25" x14ac:dyDescent="0.2">
      <c r="N46" s="176" t="s">
        <v>258</v>
      </c>
      <c r="O46" s="230">
        <v>5700</v>
      </c>
      <c r="T46" s="208">
        <v>7.4106491547098621</v>
      </c>
      <c r="U46" s="177">
        <v>8.4243617208629011</v>
      </c>
      <c r="V46" s="177">
        <v>9.2777283816055878</v>
      </c>
      <c r="W46" s="177">
        <v>9.7327735625946552</v>
      </c>
      <c r="X46" s="22">
        <v>0.18</v>
      </c>
      <c r="Y46" s="22">
        <f>X46/2</f>
        <v>0.09</v>
      </c>
    </row>
    <row r="47" spans="14:25" x14ac:dyDescent="0.2">
      <c r="N47" s="176" t="s">
        <v>259</v>
      </c>
      <c r="O47" s="230">
        <v>5700</v>
      </c>
      <c r="T47" s="208">
        <v>8.5045880977098935</v>
      </c>
      <c r="U47" s="177">
        <v>9.5762119234851095</v>
      </c>
      <c r="V47" s="177">
        <v>10.383531843099227</v>
      </c>
      <c r="W47" s="177">
        <v>10.824030755400988</v>
      </c>
      <c r="X47" s="22">
        <v>0.15</v>
      </c>
      <c r="Y47" s="22">
        <f>X47/2</f>
        <v>7.4999999999999997E-2</v>
      </c>
    </row>
    <row r="48" spans="14:25" x14ac:dyDescent="0.2">
      <c r="N48" s="176" t="s">
        <v>260</v>
      </c>
      <c r="O48" s="230">
        <v>5700</v>
      </c>
      <c r="T48" s="208">
        <v>10.694410534251043</v>
      </c>
      <c r="U48" s="177">
        <v>11.485304237382403</v>
      </c>
      <c r="V48" s="177">
        <v>12.067339131207092</v>
      </c>
      <c r="W48" s="177">
        <v>12.274656486066576</v>
      </c>
      <c r="X48" s="22">
        <v>0.11</v>
      </c>
      <c r="Y48" s="22">
        <f>X48/2</f>
        <v>5.5E-2</v>
      </c>
    </row>
    <row r="50" spans="14:23" x14ac:dyDescent="0.2">
      <c r="N50" s="22" t="s">
        <v>274</v>
      </c>
      <c r="T50" s="22" cm="1">
        <f t="array" ref="T50">1/SUM(($X$28:$X$30)/(T28:T30),($X$32:$X$34)/(T32:T34))</f>
        <v>5.6053320724417679</v>
      </c>
      <c r="U50" s="22" cm="1">
        <f t="array" ref="U50">1/SUM(($X$28:$X$30)/(U28:U30),($X$32:$X$34)/(U32:U34))</f>
        <v>6.3965130675864632</v>
      </c>
      <c r="V50" s="22" cm="1">
        <f t="array" ref="V50">1/SUM(($X$28:$X$30)/(V28:V30),($X$32:$X$34)/(V32:V34))</f>
        <v>6.7885402025187291</v>
      </c>
      <c r="W50" s="22" cm="1">
        <f t="array" ref="W50">1/SUM(($X$28:$X$30)/(W28:W30),($X$32:$X$34)/(W32:W34))</f>
        <v>7.1444757281597369</v>
      </c>
    </row>
    <row r="51" spans="14:23" x14ac:dyDescent="0.2">
      <c r="N51" s="22" t="s">
        <v>269</v>
      </c>
      <c r="T51" s="22">
        <f t="array" ref="T51">SUM($X$38:$X$40,$Y$42:$Y$44)/SUM(($X$38:$X$40)/(T38:T40),($Y$42:$Y$44)/(T42:T44))</f>
        <v>5.3331325913782566</v>
      </c>
      <c r="U51" s="22">
        <f t="array" ref="U51">SUM($X$38:$X$40,$Y$42:$Y$44)/SUM(($X$38:$X$40)/(U38:U40),($Y$42:$Y$44)/(U42:U44))</f>
        <v>5.8566556358249686</v>
      </c>
      <c r="V51" s="22">
        <f t="array" ref="V51">SUM($X$38:$X$40,$Y$42:$Y$44)/SUM(($X$38:$X$40)/(V38:V40),($Y$42:$Y$44)/(V42:V44))</f>
        <v>6.3166438137231244</v>
      </c>
      <c r="W51" s="22">
        <f t="array" ref="W51">SUM($X$38:$X$40,$Y$42:$Y$44)/SUM(($X$38:$X$40)/(W38:W40),($Y$42:$Y$44)/(W42:W44))</f>
        <v>6.5940740122454322</v>
      </c>
    </row>
    <row r="52" spans="14:23" x14ac:dyDescent="0.2">
      <c r="N52" s="22" t="s">
        <v>270</v>
      </c>
      <c r="T52" s="22">
        <f t="array" ref="T52">SUM($Y$42:$Y$44,$Y$46:$Y$48)/SUM(($Y$42:$Y$44)/(T42:T44),($Y$46:$Y$48)/(T46:T48))</f>
        <v>7.173122234474123</v>
      </c>
      <c r="U52" s="22">
        <f t="array" ref="U52">SUM($Y$42:$Y$44,$Y$46:$Y$48)/SUM(($Y$42:$Y$44)/(U42:U44),($Y$46:$Y$48)/(U46:U48))</f>
        <v>7.9749431617924378</v>
      </c>
      <c r="V52" s="22">
        <f t="array" ref="V52">SUM($Y$42:$Y$44,$Y$46:$Y$48)/SUM(($Y$42:$Y$44)/(V42:V44),($Y$46:$Y$48)/(V46:V48))</f>
        <v>8.6300769718003476</v>
      </c>
      <c r="W52" s="22">
        <f t="array" ref="W52">SUM($Y$42:$Y$44,$Y$46:$Y$48)/SUM(($Y$42:$Y$44)/(W42:W44),($Y$46:$Y$48)/(W46:W48))</f>
        <v>8.9766567924808758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1D88C-1B22-40E3-823E-369E1C66B88C}">
  <sheetPr codeName="Sheet2"/>
  <dimension ref="B2:O15"/>
  <sheetViews>
    <sheetView topLeftCell="A4" workbookViewId="0">
      <selection activeCell="B13" sqref="B13"/>
    </sheetView>
  </sheetViews>
  <sheetFormatPr baseColWidth="10" defaultColWidth="8.83203125" defaultRowHeight="15" x14ac:dyDescent="0.2"/>
  <cols>
    <col min="3" max="3" width="18.33203125" bestFit="1" customWidth="1"/>
  </cols>
  <sheetData>
    <row r="2" spans="2:15" x14ac:dyDescent="0.2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2:15" x14ac:dyDescent="0.2">
      <c r="B3" s="3"/>
      <c r="C3" s="4"/>
      <c r="D3" s="5"/>
      <c r="E3" s="6"/>
      <c r="F3" s="6"/>
      <c r="G3" s="5"/>
      <c r="H3" s="5"/>
      <c r="I3" s="5"/>
      <c r="J3" s="5"/>
      <c r="K3" s="5"/>
      <c r="L3" s="5"/>
      <c r="M3" s="5"/>
      <c r="N3" s="5"/>
      <c r="O3" s="5"/>
    </row>
    <row r="4" spans="2:15" x14ac:dyDescent="0.2">
      <c r="B4" s="3"/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 ht="17" x14ac:dyDescent="0.2">
      <c r="C5" s="8" t="s">
        <v>45</v>
      </c>
    </row>
    <row r="6" spans="2:15" x14ac:dyDescent="0.2">
      <c r="B6" s="1" t="s">
        <v>46</v>
      </c>
      <c r="C6" s="11" t="s">
        <v>21</v>
      </c>
      <c r="D6" s="12">
        <v>0</v>
      </c>
      <c r="E6" s="13">
        <v>5.0000000000000001E-3</v>
      </c>
      <c r="F6" s="13">
        <v>1.4999999999999999E-2</v>
      </c>
      <c r="G6" s="12">
        <v>0.04</v>
      </c>
      <c r="H6" s="12">
        <v>0.06</v>
      </c>
      <c r="I6" s="12">
        <v>0.1</v>
      </c>
      <c r="J6" s="12">
        <v>0.14000000000000001</v>
      </c>
      <c r="K6" s="12">
        <v>0.2</v>
      </c>
      <c r="L6" s="12">
        <v>0.4</v>
      </c>
      <c r="M6" s="12">
        <v>0.6</v>
      </c>
      <c r="N6" s="12">
        <v>0.8</v>
      </c>
      <c r="O6" s="12">
        <v>1</v>
      </c>
    </row>
    <row r="7" spans="2:15" x14ac:dyDescent="0.2">
      <c r="B7">
        <v>1</v>
      </c>
      <c r="C7" s="9" t="s">
        <v>47</v>
      </c>
      <c r="D7" s="2">
        <v>0</v>
      </c>
      <c r="E7" s="2">
        <v>0.12</v>
      </c>
      <c r="F7" s="2">
        <v>0.16</v>
      </c>
      <c r="G7" s="10">
        <v>0.22</v>
      </c>
      <c r="H7" s="10">
        <v>0.28000000000000003</v>
      </c>
      <c r="I7" s="10">
        <v>0.33</v>
      </c>
      <c r="J7" s="10">
        <v>0.35</v>
      </c>
      <c r="K7" s="10">
        <v>0.36</v>
      </c>
      <c r="L7" s="10">
        <v>0.35</v>
      </c>
      <c r="M7" s="10">
        <v>0.34</v>
      </c>
      <c r="N7" s="10">
        <v>0.32</v>
      </c>
      <c r="O7" s="10">
        <v>0.3</v>
      </c>
    </row>
    <row r="8" spans="2:15" x14ac:dyDescent="0.2">
      <c r="B8">
        <v>2</v>
      </c>
      <c r="C8" s="9" t="s">
        <v>48</v>
      </c>
      <c r="D8" s="2">
        <v>0.04</v>
      </c>
      <c r="E8" s="2">
        <v>0.06</v>
      </c>
      <c r="F8" s="2">
        <v>0.11</v>
      </c>
      <c r="G8" s="10">
        <v>0.2</v>
      </c>
      <c r="H8" s="10">
        <v>0.25</v>
      </c>
      <c r="I8" s="10">
        <v>0.33</v>
      </c>
      <c r="J8" s="10">
        <v>0.37</v>
      </c>
      <c r="K8" s="10">
        <v>0.41</v>
      </c>
      <c r="L8" s="10">
        <v>0.44</v>
      </c>
      <c r="M8" s="10">
        <v>0.45</v>
      </c>
      <c r="N8" s="10">
        <v>0.45</v>
      </c>
      <c r="O8" s="10">
        <v>0.45</v>
      </c>
    </row>
    <row r="9" spans="2:15" x14ac:dyDescent="0.2">
      <c r="B9">
        <v>3</v>
      </c>
      <c r="C9" s="9" t="s">
        <v>49</v>
      </c>
      <c r="D9" s="2">
        <v>0</v>
      </c>
      <c r="E9" s="2">
        <v>0.14000000000000001</v>
      </c>
      <c r="F9" s="2">
        <v>0.2</v>
      </c>
      <c r="G9" s="10">
        <v>0.26</v>
      </c>
      <c r="H9" s="10">
        <v>0.32</v>
      </c>
      <c r="I9" s="10">
        <v>0.39</v>
      </c>
      <c r="J9" s="10">
        <v>0.41</v>
      </c>
      <c r="K9" s="10">
        <v>0.42</v>
      </c>
      <c r="L9" s="10">
        <v>0.41</v>
      </c>
      <c r="M9" s="10">
        <v>0.38</v>
      </c>
      <c r="N9" s="10">
        <v>0.36</v>
      </c>
      <c r="O9" s="10">
        <v>0.34</v>
      </c>
    </row>
    <row r="10" spans="2:15" x14ac:dyDescent="0.2">
      <c r="B10">
        <v>4</v>
      </c>
      <c r="C10" s="9" t="s">
        <v>50</v>
      </c>
      <c r="D10" s="2">
        <v>0</v>
      </c>
      <c r="E10" s="2">
        <v>0.25</v>
      </c>
      <c r="F10" s="2">
        <v>0.33</v>
      </c>
      <c r="G10" s="10">
        <v>0.42</v>
      </c>
      <c r="H10" s="10">
        <v>0.52</v>
      </c>
      <c r="I10" s="10">
        <v>0.56999999999999995</v>
      </c>
      <c r="J10" s="10">
        <v>0.59</v>
      </c>
      <c r="K10" s="10">
        <v>0.61</v>
      </c>
      <c r="L10" s="10">
        <v>0.61</v>
      </c>
      <c r="M10" s="10">
        <v>0.57999999999999996</v>
      </c>
      <c r="N10" s="10">
        <v>0.56999999999999995</v>
      </c>
      <c r="O10" s="10">
        <v>0.56000000000000005</v>
      </c>
    </row>
    <row r="11" spans="2:15" x14ac:dyDescent="0.2">
      <c r="B11">
        <v>5</v>
      </c>
      <c r="C11" s="9" t="s">
        <v>51</v>
      </c>
      <c r="D11" s="2">
        <v>0</v>
      </c>
      <c r="E11" s="2">
        <v>0.14000000000000001</v>
      </c>
      <c r="F11" s="2">
        <v>0.2</v>
      </c>
      <c r="G11" s="10">
        <v>0.26</v>
      </c>
      <c r="H11" s="10">
        <v>0.32</v>
      </c>
      <c r="I11" s="10">
        <v>0.39</v>
      </c>
      <c r="J11" s="10">
        <v>0.41</v>
      </c>
      <c r="K11" s="10">
        <v>0.42</v>
      </c>
      <c r="L11" s="10">
        <v>0.41</v>
      </c>
      <c r="M11" s="10">
        <v>0.38</v>
      </c>
      <c r="N11" s="10">
        <v>0.36</v>
      </c>
      <c r="O11" s="10">
        <v>0.34</v>
      </c>
    </row>
    <row r="12" spans="2:15" x14ac:dyDescent="0.2">
      <c r="B12">
        <v>6</v>
      </c>
      <c r="C12" s="9" t="s">
        <v>52</v>
      </c>
      <c r="D12" s="2">
        <v>0.05</v>
      </c>
      <c r="E12" s="2">
        <v>0.12</v>
      </c>
      <c r="F12" s="2">
        <v>0.17</v>
      </c>
      <c r="G12" s="10">
        <v>0.23</v>
      </c>
      <c r="H12" s="10">
        <v>0.26</v>
      </c>
      <c r="I12" s="10">
        <v>0.28999999999999998</v>
      </c>
      <c r="J12" s="10">
        <v>0.32</v>
      </c>
      <c r="K12" s="10">
        <v>0.35</v>
      </c>
      <c r="L12" s="10">
        <v>0.38</v>
      </c>
      <c r="M12" s="10">
        <v>0.4</v>
      </c>
      <c r="N12" s="10">
        <v>0.41</v>
      </c>
      <c r="O12" s="10">
        <v>0.42</v>
      </c>
    </row>
    <row r="13" spans="2:15" x14ac:dyDescent="0.2">
      <c r="B13">
        <v>7</v>
      </c>
      <c r="C13" s="9" t="s">
        <v>53</v>
      </c>
      <c r="D13" s="2">
        <v>0.03</v>
      </c>
      <c r="E13" s="2">
        <v>0.26934706111572598</v>
      </c>
      <c r="F13" s="2">
        <v>0.34591596230106925</v>
      </c>
      <c r="G13" s="10">
        <v>0.39164128429868061</v>
      </c>
      <c r="H13" s="10">
        <v>0.40997360193190668</v>
      </c>
      <c r="I13" s="10">
        <v>0.42603421293021349</v>
      </c>
      <c r="J13" s="10">
        <v>0.43334061912410937</v>
      </c>
      <c r="K13" s="10">
        <v>0.43899982499012513</v>
      </c>
      <c r="L13" s="10">
        <v>0.44580628617786722</v>
      </c>
      <c r="M13" s="10">
        <v>0.4481257301646141</v>
      </c>
      <c r="N13" s="10">
        <v>0.44929518301229643</v>
      </c>
      <c r="O13" s="10">
        <v>0.44999999999999996</v>
      </c>
    </row>
    <row r="14" spans="2:15" x14ac:dyDescent="0.2">
      <c r="B14">
        <v>8</v>
      </c>
      <c r="C14" s="9" t="s">
        <v>54</v>
      </c>
      <c r="D14" s="2">
        <v>0.01</v>
      </c>
      <c r="E14" s="2">
        <v>0.05</v>
      </c>
      <c r="F14" s="2">
        <v>0.12</v>
      </c>
      <c r="G14" s="10">
        <v>0.23</v>
      </c>
      <c r="H14" s="10">
        <v>0.28999999999999998</v>
      </c>
      <c r="I14" s="10">
        <v>0.35</v>
      </c>
      <c r="J14" s="10">
        <v>0.38</v>
      </c>
      <c r="K14" s="10">
        <v>0.39</v>
      </c>
      <c r="L14" s="10">
        <v>0.4</v>
      </c>
      <c r="M14" s="10">
        <v>0.4</v>
      </c>
      <c r="N14" s="10">
        <v>0.4</v>
      </c>
      <c r="O14" s="10">
        <v>0.4</v>
      </c>
    </row>
    <row r="15" spans="2:15" x14ac:dyDescent="0.2">
      <c r="B15">
        <v>9</v>
      </c>
      <c r="C15" s="9" t="s">
        <v>55</v>
      </c>
      <c r="D15" s="2">
        <v>0</v>
      </c>
      <c r="E15" s="2">
        <v>0.03</v>
      </c>
      <c r="F15" s="2">
        <v>0.06</v>
      </c>
      <c r="G15" s="10">
        <v>0.18</v>
      </c>
      <c r="H15" s="10">
        <v>0.21</v>
      </c>
      <c r="I15" s="10">
        <v>0.24</v>
      </c>
      <c r="J15" s="10">
        <v>0.27</v>
      </c>
      <c r="K15" s="10">
        <v>0.3</v>
      </c>
      <c r="L15" s="10">
        <v>0.32500000000000001</v>
      </c>
      <c r="M15" s="10">
        <v>0.33500000000000002</v>
      </c>
      <c r="N15" s="10">
        <v>0.34</v>
      </c>
      <c r="O15" s="10">
        <v>0.34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74C18066B5CB4FB6BD4293E00A153C" ma:contentTypeVersion="2" ma:contentTypeDescription="Create a new document." ma:contentTypeScope="" ma:versionID="534d037a17861075ab2d267e6ac7bf8d">
  <xsd:schema xmlns:xsd="http://www.w3.org/2001/XMLSchema" xmlns:xs="http://www.w3.org/2001/XMLSchema" xmlns:p="http://schemas.microsoft.com/office/2006/metadata/properties" xmlns:ns2="065de1db-e31c-4292-be75-d6c27d0859e3" targetNamespace="http://schemas.microsoft.com/office/2006/metadata/properties" ma:root="true" ma:fieldsID="c49a30117dbd9dbcf3404e1f18540ac6" ns2:_="">
    <xsd:import namespace="065de1db-e31c-4292-be75-d6c27d0859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5de1db-e31c-4292-be75-d6c27d0859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E24476-22EE-4245-BE3D-101173C760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D97878-F217-4C0F-A562-DD1590CB529C}">
  <ds:schemaRefs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elements/1.1/"/>
    <ds:schemaRef ds:uri="http://schemas.microsoft.com/office/2006/metadata/properties"/>
    <ds:schemaRef ds:uri="065de1db-e31c-4292-be75-d6c27d0859e3"/>
    <ds:schemaRef ds:uri="http://purl.org/dc/dcmitype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21758B2F-3CDB-4468-8A09-60D6D108DE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5de1db-e31c-4292-be75-d6c27d0859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TRUCK inputs - sleeper</vt:lpstr>
      <vt:lpstr>TRUCK inputs - day</vt:lpstr>
      <vt:lpstr>TRUCK inputs - 8 voc</vt:lpstr>
      <vt:lpstr>TRUCK inputs - 6 voc</vt:lpstr>
      <vt:lpstr>Class 8 Sleeper Cab</vt:lpstr>
      <vt:lpstr>Class 8 Day Cab</vt:lpstr>
      <vt:lpstr>Class 8 Box Truck</vt:lpstr>
      <vt:lpstr>Class 6 Box Truck</vt:lpstr>
      <vt:lpstr>Sheet1</vt:lpstr>
      <vt:lpstr>aero cost</vt:lpstr>
      <vt:lpstr>Constant</vt:lpstr>
      <vt:lpstr>Fuel Converter Efficiency</vt:lpstr>
      <vt:lpstr>Aero_coef_high</vt:lpstr>
      <vt:lpstr>Aero_coef_low</vt:lpstr>
      <vt:lpstr>Aero_coef_mid</vt:lpstr>
      <vt:lpstr>Aero_Cost_list</vt:lpstr>
      <vt:lpstr>Cd_Base</vt:lpstr>
      <vt:lpstr>Class_list</vt:lpstr>
      <vt:lpstr>dge2kWh</vt:lpstr>
      <vt:lpstr>Constant!vehKg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Gilleran, Madeline (Maddy)</cp:lastModifiedBy>
  <dcterms:created xsi:type="dcterms:W3CDTF">2020-06-23T22:42:05Z</dcterms:created>
  <dcterms:modified xsi:type="dcterms:W3CDTF">2020-08-28T18:39:09Z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0x0101003874C18066B5CB4FB6BD4293E00A153C</vt:lpwstr>
  </property>
</Properties>
</file>