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defaultThemeVersion="124226"/>
  <mc:AlternateContent xmlns:mc="http://schemas.openxmlformats.org/markup-compatibility/2006">
    <mc:Choice Requires="x15">
      <x15ac:absPath xmlns:x15ac="http://schemas.microsoft.com/office/spreadsheetml/2010/11/ac" url="C:\Main\Project Files\VTAP\VTO HD Benefits\FY21\Run_20200221\"/>
    </mc:Choice>
  </mc:AlternateContent>
  <xr:revisionPtr revIDLastSave="0" documentId="13_ncr:1_{5F12133B-81EB-47A2-A0B9-D605D58A9EA0}" xr6:coauthVersionLast="45" xr6:coauthVersionMax="45" xr10:uidLastSave="{00000000-0000-0000-0000-000000000000}"/>
  <bookViews>
    <workbookView xWindow="-120" yWindow="-120" windowWidth="29040" windowHeight="15840" tabRatio="926" firstSheet="2" activeTab="6"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Market Data" sheetId="5" r:id="rId18"/>
    <sheet name="Adoption Decision" sheetId="7" r:id="rId19"/>
    <sheet name="FuelAvail" sheetId="23"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7">'Market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7" i="1" l="1"/>
  <c r="P48" i="1" s="1"/>
  <c r="P49" i="1" s="1"/>
  <c r="P50" i="1" s="1"/>
  <c r="P51" i="1" s="1"/>
  <c r="P52" i="1" s="1"/>
  <c r="P53" i="1" s="1"/>
  <c r="P54" i="1" s="1"/>
  <c r="P55" i="1" s="1"/>
  <c r="P56" i="1" s="1"/>
  <c r="P57" i="1" s="1"/>
  <c r="P58" i="1" s="1"/>
  <c r="P59" i="1" s="1"/>
  <c r="P60" i="1" s="1"/>
  <c r="P61" i="1" s="1"/>
  <c r="P62" i="1" s="1"/>
  <c r="P63" i="1" s="1"/>
  <c r="P64" i="1" s="1"/>
  <c r="P65" i="1" s="1"/>
  <c r="P46" i="1"/>
  <c r="O46" i="1"/>
  <c r="O47" i="1" s="1"/>
  <c r="O48" i="1" s="1"/>
  <c r="O49" i="1" s="1"/>
  <c r="O50" i="1" s="1"/>
  <c r="O51" i="1" s="1"/>
  <c r="O52" i="1" s="1"/>
  <c r="O53" i="1" s="1"/>
  <c r="O54" i="1" s="1"/>
  <c r="O55" i="1" s="1"/>
  <c r="O56" i="1" s="1"/>
  <c r="O57" i="1" s="1"/>
  <c r="O58" i="1" s="1"/>
  <c r="O59" i="1" s="1"/>
  <c r="O60" i="1" s="1"/>
  <c r="O61" i="1" s="1"/>
  <c r="O62" i="1" s="1"/>
  <c r="O63" i="1" s="1"/>
  <c r="O64" i="1" s="1"/>
  <c r="O65" i="1"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G21" i="1"/>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U30" i="4" l="1"/>
  <c r="S31" i="4"/>
  <c r="J8" i="5"/>
  <c r="J45" i="5"/>
  <c r="J47" i="5"/>
  <c r="J48" i="5"/>
  <c r="J7" i="5"/>
  <c r="Y16" i="11"/>
  <c r="Y17" i="11" s="1"/>
  <c r="U29" i="4" l="1"/>
  <c r="S30"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U28" i="4" l="1"/>
  <c r="S29" i="4"/>
  <c r="AE54" i="4"/>
  <c r="AO54" i="4" s="1"/>
  <c r="AE53" i="4"/>
  <c r="AO53" i="4" s="1"/>
  <c r="AE52" i="4"/>
  <c r="AO52" i="4" s="1"/>
  <c r="AE51" i="4"/>
  <c r="AO51" i="4" s="1"/>
  <c r="AE50" i="4"/>
  <c r="AO50" i="4" s="1"/>
  <c r="AE49" i="4"/>
  <c r="AO49" i="4" s="1"/>
  <c r="AE48" i="4"/>
  <c r="AO48" i="4" s="1"/>
  <c r="AE47" i="4"/>
  <c r="AO47" i="4" s="1"/>
  <c r="AE46" i="4"/>
  <c r="AO46" i="4" s="1"/>
  <c r="AE45" i="4"/>
  <c r="AO45" i="4" s="1"/>
  <c r="AE44" i="4"/>
  <c r="AO44" i="4" s="1"/>
  <c r="AE43" i="4"/>
  <c r="AO43" i="4" s="1"/>
  <c r="AE42" i="4"/>
  <c r="AO42" i="4" s="1"/>
  <c r="AE41" i="4"/>
  <c r="AO41" i="4" s="1"/>
  <c r="AE40" i="4"/>
  <c r="AO40" i="4" s="1"/>
  <c r="AE39" i="4"/>
  <c r="AO39" i="4" s="1"/>
  <c r="AE38" i="4"/>
  <c r="AO38" i="4" s="1"/>
  <c r="AE37" i="4"/>
  <c r="AO37" i="4" s="1"/>
  <c r="AE36" i="4"/>
  <c r="AO36" i="4" s="1"/>
  <c r="AE35" i="4"/>
  <c r="AO35" i="4" s="1"/>
  <c r="AE34" i="4"/>
  <c r="AO34" i="4" s="1"/>
  <c r="AE33" i="4"/>
  <c r="AO33" i="4" s="1"/>
  <c r="AE32" i="4"/>
  <c r="AO32" i="4" s="1"/>
  <c r="AE31" i="4"/>
  <c r="AO31" i="4" s="1"/>
  <c r="AE30" i="4"/>
  <c r="AO30" i="4" s="1"/>
  <c r="AE29" i="4"/>
  <c r="AO29" i="4" s="1"/>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4" i="4" l="1"/>
  <c r="Z12" i="4" s="1"/>
  <c r="AJ12" i="4" s="1"/>
  <c r="Z3" i="4"/>
  <c r="Y25" i="4" s="1"/>
  <c r="AI25" i="4" s="1"/>
  <c r="X5" i="4"/>
  <c r="X18" i="4" s="1"/>
  <c r="AH18" i="4" s="1"/>
  <c r="X3" i="4"/>
  <c r="AB19" i="4" s="1"/>
  <c r="AL19" i="4" s="1"/>
  <c r="X4" i="4"/>
  <c r="AD14" i="4" s="1"/>
  <c r="AN14" i="4" s="1"/>
  <c r="AD29" i="4" l="1"/>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30"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P24" i="12"/>
  <c r="P23" i="12" s="1"/>
  <c r="P22" i="12" s="1"/>
  <c r="O24" i="12"/>
  <c r="O23" i="12" s="1"/>
  <c r="O22" i="12" s="1"/>
  <c r="AD23" i="12"/>
  <c r="AD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E32" i="22" l="1"/>
  <c r="E31" i="22" s="1"/>
  <c r="G32" i="12"/>
  <c r="L20" i="27"/>
  <c r="D32" i="22"/>
  <c r="O20" i="27"/>
  <c r="H32" i="12"/>
  <c r="M20" i="27"/>
  <c r="H11" i="27"/>
  <c r="G32" i="22"/>
  <c r="R20" i="27"/>
  <c r="F32" i="12"/>
  <c r="K20" i="27"/>
  <c r="B11" i="27"/>
  <c r="F32" i="22"/>
  <c r="Q20" i="27"/>
  <c r="N11" i="27"/>
  <c r="H32" i="22"/>
  <c r="S20" i="27"/>
  <c r="D32" i="12"/>
  <c r="I20" i="27"/>
  <c r="P19" i="27"/>
  <c r="E32" i="12"/>
  <c r="J20" i="27"/>
  <c r="J15" i="11"/>
  <c r="J14" i="11"/>
  <c r="J13" i="11"/>
  <c r="J12" i="11"/>
  <c r="D11" i="27" l="1"/>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X12" i="4"/>
  <c r="AH12" i="4" s="1"/>
  <c r="Y12" i="4"/>
  <c r="AI12" i="4" s="1"/>
  <c r="AA12" i="4"/>
  <c r="AK12" i="4" s="1"/>
  <c r="AB12" i="4"/>
  <c r="AL12" i="4" s="1"/>
  <c r="AC12" i="4"/>
  <c r="AM12" i="4" s="1"/>
  <c r="X13" i="4"/>
  <c r="AH13" i="4" s="1"/>
  <c r="Y13" i="4"/>
  <c r="AI13" i="4" s="1"/>
  <c r="AA13" i="4"/>
  <c r="AK13" i="4" s="1"/>
  <c r="AB13" i="4"/>
  <c r="AL13" i="4" s="1"/>
  <c r="AC13" i="4"/>
  <c r="AM13" i="4" s="1"/>
  <c r="X14" i="4"/>
  <c r="AH14" i="4" s="1"/>
  <c r="Y14" i="4"/>
  <c r="AI14" i="4" s="1"/>
  <c r="AA14" i="4"/>
  <c r="AK14" i="4" s="1"/>
  <c r="AB14" i="4"/>
  <c r="AL14" i="4" s="1"/>
  <c r="AC14" i="4"/>
  <c r="AM14" i="4" s="1"/>
  <c r="X15" i="4"/>
  <c r="AH15" i="4" s="1"/>
  <c r="Y15" i="4"/>
  <c r="AI15" i="4" s="1"/>
  <c r="AA15" i="4"/>
  <c r="AK15" i="4" s="1"/>
  <c r="AB15" i="4"/>
  <c r="AL15" i="4" s="1"/>
  <c r="AC15" i="4"/>
  <c r="AM15" i="4" s="1"/>
  <c r="X16" i="4"/>
  <c r="AH16" i="4" s="1"/>
  <c r="Y16" i="4"/>
  <c r="AI16" i="4" s="1"/>
  <c r="AA16" i="4"/>
  <c r="AK16" i="4" s="1"/>
  <c r="AB16" i="4"/>
  <c r="AL16" i="4" s="1"/>
  <c r="AC16" i="4"/>
  <c r="AM16" i="4" s="1"/>
  <c r="AA17" i="4"/>
  <c r="AK17" i="4" s="1"/>
  <c r="AC17" i="4"/>
  <c r="AM17" i="4" s="1"/>
  <c r="AA18" i="4"/>
  <c r="AK18" i="4" s="1"/>
  <c r="AC18" i="4"/>
  <c r="AM18" i="4" s="1"/>
  <c r="AA19" i="4"/>
  <c r="AK19" i="4" s="1"/>
  <c r="AC19" i="4"/>
  <c r="AM19" i="4" s="1"/>
  <c r="AA20" i="4"/>
  <c r="AK20" i="4" s="1"/>
  <c r="AC20" i="4"/>
  <c r="AM20" i="4" s="1"/>
  <c r="AA21" i="4"/>
  <c r="AK21" i="4" s="1"/>
  <c r="AC21" i="4"/>
  <c r="AM21" i="4" s="1"/>
  <c r="AA22" i="4"/>
  <c r="AK22" i="4" s="1"/>
  <c r="AC22" i="4"/>
  <c r="AM22" i="4" s="1"/>
  <c r="AA23" i="4"/>
  <c r="AK23" i="4" s="1"/>
  <c r="AC23" i="4"/>
  <c r="AM23" i="4" s="1"/>
  <c r="AA24" i="4"/>
  <c r="AK24" i="4" s="1"/>
  <c r="AC24" i="4"/>
  <c r="AM24" i="4" s="1"/>
  <c r="AA25" i="4"/>
  <c r="AK25" i="4" s="1"/>
  <c r="AC25" i="4"/>
  <c r="AM25" i="4" s="1"/>
  <c r="AA26" i="4"/>
  <c r="AK26" i="4" s="1"/>
  <c r="AC26" i="4"/>
  <c r="AM26" i="4" s="1"/>
  <c r="AA27" i="4"/>
  <c r="AK27" i="4" s="1"/>
  <c r="AC27" i="4"/>
  <c r="AM27" i="4" s="1"/>
  <c r="AA28" i="4"/>
  <c r="AK28" i="4" s="1"/>
  <c r="AC28" i="4"/>
  <c r="AM28" i="4" s="1"/>
  <c r="AA29" i="4"/>
  <c r="AK29" i="4" s="1"/>
  <c r="AC29" i="4"/>
  <c r="AM29" i="4" s="1"/>
  <c r="AA30" i="4"/>
  <c r="AK30" i="4" s="1"/>
  <c r="AC30" i="4"/>
  <c r="AM30" i="4" s="1"/>
  <c r="AA31" i="4"/>
  <c r="AK31" i="4" s="1"/>
  <c r="AC31" i="4"/>
  <c r="AM31" i="4" s="1"/>
  <c r="AA32" i="4"/>
  <c r="AK32" i="4" s="1"/>
  <c r="AC32" i="4"/>
  <c r="AM32" i="4" s="1"/>
  <c r="AA33" i="4"/>
  <c r="AK33" i="4" s="1"/>
  <c r="AC33" i="4"/>
  <c r="AM33" i="4" s="1"/>
  <c r="AA34" i="4"/>
  <c r="AK34" i="4" s="1"/>
  <c r="AC34" i="4"/>
  <c r="AM34" i="4" s="1"/>
  <c r="AA35" i="4"/>
  <c r="AK35" i="4" s="1"/>
  <c r="AC35" i="4"/>
  <c r="AM35" i="4" s="1"/>
  <c r="AA36" i="4"/>
  <c r="AK36" i="4" s="1"/>
  <c r="AC36" i="4"/>
  <c r="AM36" i="4" s="1"/>
  <c r="AA37" i="4"/>
  <c r="AK37" i="4" s="1"/>
  <c r="AC37" i="4"/>
  <c r="AM37" i="4" s="1"/>
  <c r="AA38" i="4"/>
  <c r="AK38" i="4" s="1"/>
  <c r="AC38" i="4"/>
  <c r="AM38" i="4" s="1"/>
  <c r="AA39" i="4"/>
  <c r="AK39" i="4" s="1"/>
  <c r="AC39" i="4"/>
  <c r="AM39" i="4" s="1"/>
  <c r="AA40" i="4"/>
  <c r="AK40" i="4" s="1"/>
  <c r="AC40" i="4"/>
  <c r="AM40" i="4" s="1"/>
  <c r="AA41" i="4"/>
  <c r="AK41" i="4" s="1"/>
  <c r="AC41" i="4"/>
  <c r="AM41" i="4" s="1"/>
  <c r="AA42" i="4"/>
  <c r="AK42" i="4" s="1"/>
  <c r="AC42" i="4"/>
  <c r="AM42" i="4" s="1"/>
  <c r="AA43" i="4"/>
  <c r="AK43" i="4" s="1"/>
  <c r="AC43" i="4"/>
  <c r="AM43" i="4" s="1"/>
  <c r="AA44" i="4"/>
  <c r="AK44" i="4" s="1"/>
  <c r="AC44" i="4"/>
  <c r="AM44" i="4" s="1"/>
  <c r="AA45" i="4"/>
  <c r="AK45" i="4" s="1"/>
  <c r="AC45" i="4"/>
  <c r="AM45" i="4" s="1"/>
  <c r="AA46" i="4"/>
  <c r="AK46" i="4" s="1"/>
  <c r="AC46" i="4"/>
  <c r="AM46" i="4" s="1"/>
  <c r="AA47" i="4"/>
  <c r="AK47" i="4" s="1"/>
  <c r="AC47" i="4"/>
  <c r="AM47" i="4" s="1"/>
  <c r="AA48" i="4"/>
  <c r="AK48" i="4" s="1"/>
  <c r="AC48" i="4"/>
  <c r="AM48" i="4" s="1"/>
  <c r="AA49" i="4"/>
  <c r="AK49" i="4" s="1"/>
  <c r="AC49" i="4"/>
  <c r="AM49" i="4" s="1"/>
  <c r="AA50" i="4"/>
  <c r="AK50" i="4" s="1"/>
  <c r="AC50" i="4"/>
  <c r="AM50" i="4" s="1"/>
  <c r="AA51" i="4"/>
  <c r="AK51" i="4" s="1"/>
  <c r="AC51" i="4"/>
  <c r="AM51" i="4" s="1"/>
  <c r="AA52" i="4"/>
  <c r="AK52" i="4" s="1"/>
  <c r="AC52" i="4"/>
  <c r="AM52" i="4" s="1"/>
  <c r="AA53" i="4"/>
  <c r="AK53" i="4" s="1"/>
  <c r="AC53" i="4"/>
  <c r="AM53" i="4" s="1"/>
  <c r="AA54" i="4"/>
  <c r="AK54" i="4" s="1"/>
  <c r="AC54" i="4"/>
  <c r="AM54" i="4" s="1"/>
  <c r="Y11" i="4"/>
  <c r="AI11" i="4" s="1"/>
  <c r="AA11" i="4"/>
  <c r="AK11" i="4" s="1"/>
  <c r="AB11" i="4"/>
  <c r="AL11" i="4" s="1"/>
  <c r="AC11" i="4"/>
  <c r="AM11" i="4" s="1"/>
  <c r="X11" i="4"/>
  <c r="AH11" i="4" s="1"/>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L55" i="1" l="1"/>
  <c r="F56" i="11"/>
  <c r="J15" i="23"/>
  <c r="AL33" i="21" s="1"/>
  <c r="M86" i="23"/>
  <c r="N85" i="23"/>
  <c r="N38" i="23"/>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J16" i="23"/>
  <c r="M87" i="23"/>
  <c r="N86" i="23"/>
  <c r="N39" i="23"/>
  <c r="K37" i="23" s="1"/>
  <c r="B26" i="11"/>
  <c r="AL23" i="11"/>
  <c r="F58" i="11" l="1"/>
  <c r="L56" i="1"/>
  <c r="M88" i="23"/>
  <c r="N87" i="23"/>
  <c r="N40" i="23"/>
  <c r="B27" i="11"/>
  <c r="F59" i="11" l="1"/>
  <c r="L57" i="1"/>
  <c r="J17" i="23"/>
  <c r="M89" i="23"/>
  <c r="N88" i="23"/>
  <c r="N41" i="23"/>
  <c r="K44" i="23" s="1"/>
  <c r="B28" i="11"/>
  <c r="AV21" i="11"/>
  <c r="F60" i="11" l="1"/>
  <c r="L58" i="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L61" i="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L62" i="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B35" i="11"/>
  <c r="AG12" i="4"/>
  <c r="AG13" i="4"/>
  <c r="AG14" i="4"/>
  <c r="AG15" i="4"/>
  <c r="B34" i="13" l="1"/>
  <c r="F67" i="11"/>
  <c r="L65" i="1"/>
  <c r="J22" i="23"/>
  <c r="M97" i="23"/>
  <c r="N96" i="23"/>
  <c r="N49" i="23"/>
  <c r="K40" i="23" s="1"/>
  <c r="B36" i="11"/>
  <c r="AC55" i="4"/>
  <c r="AA55" i="4"/>
  <c r="AA56" i="4" s="1"/>
  <c r="AA57" i="4" s="1"/>
  <c r="AA58" i="4" s="1"/>
  <c r="AK58" i="4" s="1"/>
  <c r="AI55" i="4"/>
  <c r="AG11" i="4"/>
  <c r="AG10" i="4"/>
  <c r="R17" i="13" s="1"/>
  <c r="AN34" i="13" l="1"/>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44" i="21"/>
  <c r="AC51" i="21"/>
  <c r="AC38" i="21"/>
  <c r="AC42" i="21"/>
  <c r="AC41" i="21"/>
  <c r="AC46" i="21"/>
  <c r="AC45" i="21"/>
  <c r="AC39" i="21"/>
  <c r="AC50" i="21"/>
  <c r="AC40" i="21"/>
  <c r="AC55" i="21"/>
  <c r="AC47" i="21"/>
  <c r="AC53" i="21"/>
  <c r="AC52" i="21"/>
  <c r="AC43" i="21"/>
  <c r="AC49" i="21"/>
  <c r="AC56" i="21"/>
  <c r="AC54" i="21"/>
  <c r="AC48" i="21"/>
  <c r="AC57" i="21"/>
  <c r="AA31" i="21"/>
  <c r="Y38" i="21"/>
  <c r="Y50" i="21"/>
  <c r="Y49" i="21"/>
  <c r="Y53" i="21"/>
  <c r="AA34" i="21"/>
  <c r="Y45" i="21"/>
  <c r="AC52" i="11"/>
  <c r="Z42" i="21"/>
  <c r="AB32" i="11"/>
  <c r="AB37" i="11"/>
  <c r="AC49" i="11"/>
  <c r="AA48" i="11"/>
  <c r="Z48" i="21"/>
  <c r="Z33" i="21"/>
  <c r="Z53" i="21"/>
  <c r="Y55" i="21"/>
  <c r="Y25" i="21"/>
  <c r="Y32" i="21"/>
  <c r="Y57" i="21"/>
  <c r="AB27" i="11"/>
  <c r="Y34" i="21"/>
  <c r="Y47" i="21"/>
  <c r="AB26" i="21"/>
  <c r="AC32" i="11"/>
  <c r="AB47" i="21"/>
  <c r="AB25" i="21"/>
  <c r="Z27" i="21"/>
  <c r="AB45" i="21"/>
  <c r="Y41" i="21"/>
  <c r="AA40" i="11"/>
  <c r="Y33" i="21"/>
  <c r="AA51" i="21"/>
  <c r="AA49" i="21"/>
  <c r="Z50" i="21"/>
  <c r="AC40" i="11"/>
  <c r="AC44" i="11"/>
  <c r="AB36" i="21"/>
  <c r="Z40" i="21"/>
  <c r="AC42" i="11"/>
  <c r="AB26" i="11"/>
  <c r="AB33" i="21"/>
  <c r="AC26" i="11"/>
  <c r="AB29" i="11"/>
  <c r="AC41" i="11"/>
  <c r="Z55" i="21"/>
  <c r="AA40" i="21"/>
  <c r="AA43" i="21"/>
  <c r="AA48" i="21"/>
  <c r="AA31" i="11"/>
  <c r="Z31" i="21"/>
  <c r="AB25" i="11"/>
  <c r="AA35" i="21"/>
  <c r="AB24" i="21"/>
  <c r="AB30" i="11"/>
  <c r="AA46" i="11"/>
  <c r="Z51" i="21"/>
  <c r="Z57" i="21"/>
  <c r="AA28" i="21"/>
  <c r="Y56" i="21"/>
  <c r="AA49" i="11"/>
  <c r="AA39" i="21"/>
  <c r="Z24" i="21"/>
  <c r="AB34" i="21"/>
  <c r="AB41" i="21"/>
  <c r="Z29" i="21"/>
  <c r="Y37" i="21"/>
  <c r="AB31" i="21"/>
  <c r="AB51" i="21"/>
  <c r="Y28" i="21"/>
  <c r="Y54" i="21"/>
  <c r="AA54" i="21"/>
  <c r="AC57" i="11"/>
  <c r="AA39" i="11"/>
  <c r="AA47" i="21"/>
  <c r="AA27" i="11"/>
  <c r="AA44" i="21"/>
  <c r="Z54" i="21"/>
  <c r="AB38" i="21"/>
  <c r="AC25" i="11"/>
  <c r="AA45" i="21"/>
  <c r="Y31" i="21"/>
  <c r="AC48" i="11"/>
  <c r="AB38" i="11"/>
  <c r="AA29" i="21"/>
  <c r="AB28" i="11"/>
  <c r="Z35" i="21"/>
  <c r="Y52" i="21"/>
  <c r="AB49" i="21"/>
  <c r="AA27" i="21"/>
  <c r="AA50" i="11"/>
  <c r="AA24" i="21"/>
  <c r="AC55" i="11"/>
  <c r="AB27" i="21"/>
  <c r="AB46" i="21"/>
  <c r="AA33" i="21"/>
  <c r="AC30" i="11"/>
  <c r="AA41" i="21"/>
  <c r="AC35" i="11"/>
  <c r="AB39" i="11"/>
  <c r="AB24" i="11"/>
  <c r="Y42" i="21"/>
  <c r="AA43" i="11"/>
  <c r="Y35" i="21"/>
  <c r="AB32" i="21"/>
  <c r="Z26" i="21"/>
  <c r="AA56" i="21"/>
  <c r="Z49" i="21"/>
  <c r="AC46" i="11"/>
  <c r="Y24" i="21"/>
  <c r="AA42" i="21"/>
  <c r="AA30" i="11"/>
  <c r="Y40" i="21"/>
  <c r="Y30" i="21"/>
  <c r="Y43" i="21"/>
  <c r="AB44" i="21"/>
  <c r="AC37" i="11"/>
  <c r="AA37" i="11"/>
  <c r="AC45" i="11"/>
  <c r="Y46" i="21"/>
  <c r="Y51" i="21"/>
  <c r="AA24" i="11"/>
  <c r="Z34" i="21"/>
  <c r="Z36" i="21"/>
  <c r="AB28" i="21"/>
  <c r="AA37" i="21"/>
  <c r="AB40" i="21"/>
  <c r="AA57" i="21"/>
  <c r="AC47" i="11"/>
  <c r="AA45" i="11"/>
  <c r="AB50" i="21"/>
  <c r="AC28" i="11"/>
  <c r="AA38" i="21"/>
  <c r="AA33" i="11"/>
  <c r="Y29" i="21"/>
  <c r="Z30" i="21"/>
  <c r="AC54" i="11"/>
  <c r="AA36" i="21"/>
  <c r="AC33" i="11"/>
  <c r="Y26" i="21"/>
  <c r="AC36" i="11"/>
  <c r="AB43" i="21"/>
  <c r="Z43" i="21"/>
  <c r="AC51" i="11"/>
  <c r="AA34" i="11"/>
  <c r="AC38" i="11"/>
  <c r="AA32" i="21"/>
  <c r="Y48" i="21"/>
  <c r="AC27" i="11"/>
  <c r="AA35" i="11"/>
  <c r="Z41" i="21"/>
  <c r="Z52" i="21"/>
  <c r="AA36" i="11"/>
  <c r="Z56" i="21"/>
  <c r="AA42" i="11"/>
  <c r="AA44" i="11"/>
  <c r="AC39" i="11"/>
  <c r="Y36" i="21"/>
  <c r="AA30" i="21"/>
  <c r="Z44" i="21"/>
  <c r="Z46" i="21"/>
  <c r="AA32" i="11"/>
  <c r="AA28" i="11"/>
  <c r="AA26" i="21"/>
  <c r="AB37" i="21"/>
  <c r="AA26" i="11"/>
  <c r="AB36" i="11"/>
  <c r="Y27" i="21"/>
  <c r="AB29" i="21"/>
  <c r="AC24" i="11"/>
  <c r="AB35" i="11"/>
  <c r="Z25" i="21"/>
  <c r="Z38" i="21"/>
  <c r="AA52" i="21"/>
  <c r="Z39" i="21"/>
  <c r="AA25" i="21"/>
  <c r="AA53" i="21"/>
  <c r="AC34" i="11"/>
  <c r="AB39" i="21"/>
  <c r="AA47" i="11"/>
  <c r="AA25" i="11"/>
  <c r="AB30" i="21"/>
  <c r="AA50" i="21"/>
  <c r="AC31" i="11"/>
  <c r="Y39" i="21"/>
  <c r="AB34" i="11"/>
  <c r="AA29" i="11"/>
  <c r="AC29" i="11"/>
  <c r="AB35" i="21"/>
  <c r="AC56" i="11"/>
  <c r="AA55" i="21"/>
  <c r="AC50" i="11"/>
  <c r="AA38" i="11"/>
  <c r="AC43" i="11"/>
  <c r="AA41" i="11"/>
  <c r="AB31" i="11"/>
  <c r="AA46" i="21"/>
  <c r="AC53" i="11"/>
  <c r="Z47" i="21"/>
  <c r="Z28" i="21"/>
  <c r="AB33" i="11"/>
  <c r="Z45" i="21"/>
  <c r="Y44" i="21"/>
  <c r="Z37" i="21"/>
  <c r="AB42" i="21"/>
  <c r="AB48" i="2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AB52" i="21"/>
  <c r="Y58" i="21"/>
  <c r="Z58" i="21"/>
  <c r="AA51" i="11"/>
  <c r="Z59" i="21"/>
  <c r="AC59" i="11"/>
  <c r="AC58" i="11"/>
  <c r="Y59" i="21"/>
  <c r="AA58" i="21"/>
  <c r="AA59" i="2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AB41" i="11"/>
  <c r="AA60" i="21"/>
  <c r="AB53" i="21"/>
  <c r="Y60" i="21"/>
  <c r="AC60" i="11"/>
  <c r="AA52" i="11"/>
  <c r="AB40" i="11"/>
  <c r="Z60" i="2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AC61" i="11"/>
  <c r="AA53" i="11"/>
  <c r="AB42" i="11"/>
  <c r="AA61" i="21"/>
  <c r="AB54" i="21"/>
  <c r="Z61" i="21"/>
  <c r="Y61" i="2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AB43" i="11"/>
  <c r="AA54" i="11"/>
  <c r="AB55" i="21"/>
  <c r="AC62" i="11"/>
  <c r="AA62" i="21"/>
  <c r="Z62" i="21"/>
  <c r="Y62" i="2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AA63" i="21"/>
  <c r="Z63" i="21"/>
  <c r="AB56" i="21"/>
  <c r="AA55" i="11"/>
  <c r="AC63" i="11"/>
  <c r="Y63" i="21"/>
  <c r="AB44" i="1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AB45" i="11"/>
  <c r="AB57" i="21"/>
  <c r="Z64" i="21"/>
  <c r="Y64" i="21"/>
  <c r="AA64" i="21"/>
  <c r="AC64" i="11"/>
  <c r="AA56" i="1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B58" i="21"/>
  <c r="AC65" i="11"/>
  <c r="AA65" i="21"/>
  <c r="Z65" i="21"/>
  <c r="AA57" i="11"/>
  <c r="AB46" i="11"/>
  <c r="Y65" i="2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Z20" i="9"/>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7" i="21"/>
  <c r="AC66" i="21"/>
  <c r="Y67" i="21"/>
  <c r="Z66" i="21"/>
  <c r="Y66" i="21"/>
  <c r="AC66" i="11"/>
  <c r="AC67" i="11"/>
  <c r="AA58" i="11"/>
  <c r="AA67" i="21"/>
  <c r="AB47" i="11"/>
  <c r="Z67" i="21"/>
  <c r="AB59" i="21"/>
  <c r="AA66" i="2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38" i="13"/>
  <c r="AB43" i="13"/>
  <c r="AB40" i="13"/>
  <c r="AB44" i="13"/>
  <c r="AB45" i="13"/>
  <c r="AB39" i="13"/>
  <c r="AB46" i="13"/>
  <c r="AB41" i="13"/>
  <c r="AC36" i="13"/>
  <c r="AA60" i="11"/>
  <c r="AC26" i="13"/>
  <c r="AA42" i="13"/>
  <c r="AC60" i="13"/>
  <c r="Z53" i="13"/>
  <c r="Z56" i="13"/>
  <c r="AC64" i="13"/>
  <c r="Z45" i="13"/>
  <c r="Z37" i="13"/>
  <c r="AA39" i="13"/>
  <c r="Y32" i="13"/>
  <c r="AC41" i="13"/>
  <c r="AC31" i="13"/>
  <c r="AA29" i="13"/>
  <c r="Z67" i="13"/>
  <c r="AA24" i="13"/>
  <c r="AA49" i="13"/>
  <c r="AC55" i="13"/>
  <c r="Z26" i="13"/>
  <c r="AC52" i="13"/>
  <c r="Y27" i="13"/>
  <c r="Z33" i="13"/>
  <c r="Y54" i="13"/>
  <c r="Z28" i="13"/>
  <c r="Z46" i="13"/>
  <c r="Y65" i="13"/>
  <c r="Y47" i="13"/>
  <c r="Z34" i="13"/>
  <c r="AC42" i="13"/>
  <c r="Z42" i="13"/>
  <c r="Z58" i="13"/>
  <c r="Y63" i="13"/>
  <c r="Z50" i="13"/>
  <c r="AA28" i="13"/>
  <c r="Z57" i="13"/>
  <c r="Y66" i="13"/>
  <c r="Y51" i="13"/>
  <c r="AA51" i="13"/>
  <c r="Y44" i="13"/>
  <c r="AA26" i="13"/>
  <c r="Z31" i="13"/>
  <c r="AC43" i="13"/>
  <c r="AA53" i="13"/>
  <c r="AC27" i="13"/>
  <c r="AC48" i="13"/>
  <c r="AA55" i="13"/>
  <c r="Z38" i="13"/>
  <c r="AA66" i="13"/>
  <c r="AA62" i="13"/>
  <c r="Y31" i="13"/>
  <c r="Y26" i="13"/>
  <c r="Y36" i="13"/>
  <c r="AC47" i="13"/>
  <c r="AA37" i="13"/>
  <c r="AC40" i="13"/>
  <c r="Y55" i="13"/>
  <c r="AA54" i="13"/>
  <c r="AC45" i="13"/>
  <c r="AC25" i="13"/>
  <c r="Z47" i="13"/>
  <c r="AA65" i="13"/>
  <c r="AC35" i="13"/>
  <c r="Y28" i="13"/>
  <c r="Z66" i="13"/>
  <c r="AA27" i="13"/>
  <c r="Y42" i="13"/>
  <c r="AA30" i="13"/>
  <c r="Z63" i="13"/>
  <c r="Z35" i="13"/>
  <c r="Y49" i="13"/>
  <c r="AC49" i="13"/>
  <c r="Y59" i="13"/>
  <c r="AA25" i="13"/>
  <c r="AC67" i="13"/>
  <c r="Z27" i="13"/>
  <c r="Z60" i="13"/>
  <c r="AC63" i="13"/>
  <c r="AC61" i="13"/>
  <c r="Z51" i="13"/>
  <c r="Y40" i="13"/>
  <c r="Y33" i="13"/>
  <c r="Z61" i="13"/>
  <c r="AC58" i="13"/>
  <c r="AA44" i="13"/>
  <c r="Z62" i="13"/>
  <c r="AC32" i="13"/>
  <c r="Z32" i="13"/>
  <c r="AC39" i="13"/>
  <c r="Z29" i="13"/>
  <c r="Y46" i="13"/>
  <c r="AC56" i="13"/>
  <c r="Y60" i="13"/>
  <c r="AC66" i="13"/>
  <c r="Y53" i="13"/>
  <c r="Z52" i="13"/>
  <c r="AC62" i="13"/>
  <c r="Y52" i="13"/>
  <c r="AC30" i="13"/>
  <c r="AC59" i="13"/>
  <c r="AA43" i="13"/>
  <c r="Y30" i="13"/>
  <c r="Z30" i="13"/>
  <c r="AB49" i="11"/>
  <c r="Z41" i="13"/>
  <c r="AC51" i="13"/>
  <c r="AA67" i="13"/>
  <c r="Z25" i="13"/>
  <c r="Y25" i="13"/>
  <c r="Z36" i="13"/>
  <c r="Y48" i="13"/>
  <c r="Z49" i="13"/>
  <c r="AC37" i="13"/>
  <c r="Y62" i="13"/>
  <c r="AA36" i="13"/>
  <c r="AC46" i="13"/>
  <c r="AA60" i="13"/>
  <c r="Z65" i="13"/>
  <c r="Y43" i="13"/>
  <c r="Y41" i="13"/>
  <c r="AA58" i="13"/>
  <c r="Z54" i="13"/>
  <c r="AA35" i="13"/>
  <c r="AC57" i="13"/>
  <c r="AC65" i="13"/>
  <c r="AA32" i="13"/>
  <c r="AA41" i="13"/>
  <c r="AC34" i="13"/>
  <c r="Y67" i="13"/>
  <c r="Y24" i="13"/>
  <c r="AA59" i="13"/>
  <c r="Z48" i="13"/>
  <c r="AA50" i="13"/>
  <c r="AA56" i="13"/>
  <c r="AC24" i="13"/>
  <c r="Y38" i="13"/>
  <c r="Z59" i="13"/>
  <c r="Y61" i="13"/>
  <c r="AA52" i="13"/>
  <c r="AC44" i="13"/>
  <c r="Y56" i="13"/>
  <c r="Y34" i="13"/>
  <c r="AB61" i="21"/>
  <c r="Y50" i="13"/>
  <c r="AC28" i="13"/>
  <c r="Z24" i="13"/>
  <c r="AA38" i="13"/>
  <c r="Z44" i="13"/>
  <c r="AC38" i="13"/>
  <c r="Y64" i="13"/>
  <c r="Z40" i="13"/>
  <c r="Y35" i="13"/>
  <c r="Z55" i="13"/>
  <c r="AA34" i="13"/>
  <c r="Y57" i="13"/>
  <c r="Z64" i="13"/>
  <c r="AA33" i="13"/>
  <c r="AC50" i="13"/>
  <c r="Y45" i="13"/>
  <c r="Z39" i="13"/>
  <c r="AA45" i="13"/>
  <c r="Y58" i="13"/>
  <c r="AC33" i="13"/>
  <c r="AA46" i="13"/>
  <c r="AA40" i="13"/>
  <c r="AC54" i="13"/>
  <c r="AA48" i="13"/>
  <c r="AC29" i="13"/>
  <c r="AA61" i="13"/>
  <c r="AA31" i="13"/>
  <c r="Y37" i="13"/>
  <c r="Z43" i="13"/>
  <c r="AA63" i="13"/>
  <c r="AA47" i="13"/>
  <c r="AC53" i="13"/>
  <c r="Y29" i="13"/>
  <c r="AA64" i="13"/>
  <c r="Y39" i="13"/>
  <c r="AA57"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Y44" i="11"/>
  <c r="Z57" i="11"/>
  <c r="Z37" i="11"/>
  <c r="Y52" i="11"/>
  <c r="Y57" i="11"/>
  <c r="Y55" i="11"/>
  <c r="Z29" i="11"/>
  <c r="Z49" i="11"/>
  <c r="Y46" i="11"/>
  <c r="Z24" i="11"/>
  <c r="Z59" i="11"/>
  <c r="Z40" i="11"/>
  <c r="Z66" i="11"/>
  <c r="Z61" i="11"/>
  <c r="Y39" i="11"/>
  <c r="Y33" i="11"/>
  <c r="Z47" i="11"/>
  <c r="Y48" i="11"/>
  <c r="Z25" i="11"/>
  <c r="Y47" i="11"/>
  <c r="Y32" i="11"/>
  <c r="Z33" i="11"/>
  <c r="Y65" i="11"/>
  <c r="Y58" i="11"/>
  <c r="Y61" i="11"/>
  <c r="Z32" i="11"/>
  <c r="Y40" i="11"/>
  <c r="Y67" i="11"/>
  <c r="Y34" i="11"/>
  <c r="Y54" i="11"/>
  <c r="Z45" i="11"/>
  <c r="Y36" i="11"/>
  <c r="Y41" i="11"/>
  <c r="Z58" i="11"/>
  <c r="Z52" i="11"/>
  <c r="Z31" i="11"/>
  <c r="Y27" i="11"/>
  <c r="Z44" i="11"/>
  <c r="Z64" i="11"/>
  <c r="Y43" i="11"/>
  <c r="Z48" i="11"/>
  <c r="Z51" i="11"/>
  <c r="Y28" i="11"/>
  <c r="Y53" i="11"/>
  <c r="Z28" i="11"/>
  <c r="Y38" i="11"/>
  <c r="Y60" i="11"/>
  <c r="Z42" i="11"/>
  <c r="Z36" i="11"/>
  <c r="Z65" i="11"/>
  <c r="Z50" i="11"/>
  <c r="Z41" i="11"/>
  <c r="Y64" i="11"/>
  <c r="Y66" i="11"/>
  <c r="AB62" i="21"/>
  <c r="Y31" i="11"/>
  <c r="Z27" i="11"/>
  <c r="AB50" i="11"/>
  <c r="Z62" i="11"/>
  <c r="Y42" i="11"/>
  <c r="Z43" i="11"/>
  <c r="Y63" i="11"/>
  <c r="Y62" i="11"/>
  <c r="Z60" i="11"/>
  <c r="Y45" i="11"/>
  <c r="Y59" i="11"/>
  <c r="Y49" i="11"/>
  <c r="Y24" i="11"/>
  <c r="Z35" i="11"/>
  <c r="Z39" i="11"/>
  <c r="Y51" i="11"/>
  <c r="Z34" i="11"/>
  <c r="Y37" i="11"/>
  <c r="Y26" i="11"/>
  <c r="Z30" i="11"/>
  <c r="Z38" i="11"/>
  <c r="Y30" i="11"/>
  <c r="Y50" i="11"/>
  <c r="Y56" i="11"/>
  <c r="Z46" i="11"/>
  <c r="Z63" i="11"/>
  <c r="Z67" i="11"/>
  <c r="Z26" i="11"/>
  <c r="Z56" i="11"/>
  <c r="Z55" i="11"/>
  <c r="Z54" i="11"/>
  <c r="Y35" i="11"/>
  <c r="Y29" i="11"/>
  <c r="Y25" i="11"/>
  <c r="Z53" i="11"/>
  <c r="AC260" i="11" l="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AS24" i="11"/>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51" i="11"/>
  <c r="AB63" i="2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52" i="11"/>
  <c r="AB64" i="21"/>
  <c r="AA63"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65" i="21"/>
  <c r="AB53" i="11"/>
  <c r="AA64" i="11"/>
  <c r="AG164" i="13" l="1"/>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A65" i="11"/>
  <c r="AB54" i="11"/>
  <c r="AB67" i="21"/>
  <c r="AB66" i="2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A66" i="11"/>
  <c r="AB55"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Dwyer, Michael T.</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0000000-0006-0000-0500-000001000000}">
      <text>
        <r>
          <rPr>
            <b/>
            <sz val="9"/>
            <color indexed="81"/>
            <rFont val="Tahoma"/>
            <family val="2"/>
          </rPr>
          <t>Alicia Birky:</t>
        </r>
        <r>
          <rPr>
            <sz val="9"/>
            <color indexed="81"/>
            <rFont val="Tahoma"/>
            <family val="2"/>
          </rPr>
          <t xml:space="preserve">
Values from prior AEO are in different basis years
</t>
        </r>
      </text>
    </comment>
    <comment ref="X8" authorId="1"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2"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2"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<sst xmlns="http://schemas.openxmlformats.org/spreadsheetml/2006/main" count="2113" uniqueCount="441">
  <si>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</si>
  <si>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</si>
  <si>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</si>
  <si>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</si>
  <si>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</si>
  <si>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</si>
  <si>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</si>
  <si>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</si>
  <si>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</si>
  <si>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</si>
  <si>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</si>
  <si>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</si>
  <si>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</si>
  <si>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</si>
  <si>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</si>
  <si>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</si>
  <si>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</si>
  <si>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</si>
  <si>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</si>
  <si>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</si>
  <si>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</si>
  <si>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</si>
  <si>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</si>
  <si>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</si>
  <si>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</si>
  <si>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</si>
  <si>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</si>
  <si>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</si>
  <si>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</si>
  <si>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</si>
  <si>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</si>
  <si>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</si>
  <si>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</si>
  <si>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</si>
  <si>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</si>
  <si>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</si>
  <si>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</si>
  <si>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</si>
  <si>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</si>
  <si>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</si>
  <si>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</si>
  <si>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</si>
  <si>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</si>
  <si>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</si>
  <si>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</si>
  <si>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</si>
  <si>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</si>
  <si>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</si>
  <si>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</si>
  <si>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</si>
  <si>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</si>
  <si>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</si>
  <si>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</si>
  <si>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</si>
  <si>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</si>
  <si>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</si>
  <si>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</si>
  <si>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</si>
  <si>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</si>
  <si>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</si>
  <si>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</si>
  <si>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</si>
  <si>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</si>
  <si>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</si>
  <si>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</si>
  <si>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</si>
  <si>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</si>
  <si>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</si>
  <si>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</si>
  <si>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</si>
  <si>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</si>
  <si>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</si>
  <si>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</si>
  <si>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</si>
  <si>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</si>
  <si>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</si>
  <si>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</si>
  <si>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</si>
  <si>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</si>
  <si>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</si>
  <si>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</si>
  <si>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</si>
  <si>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</si>
  <si>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</si>
  <si>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</si>
  <si>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</si>
  <si>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</si>
  <si>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</si>
  <si>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</si>
  <si>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</si>
  <si>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</si>
  <si>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</si>
  <si>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</si>
  <si>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</si>
  <si>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</si>
  <si>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</si>
  <si>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</si>
  <si>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</si>
  <si>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</si>
  <si>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</si>
  <si>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</si>
  <si>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</si>
  <si>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</si>
  <si>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</si>
  <si>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</si>
  <si>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</si>
  <si>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</si>
  <si>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</si>
  <si>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</si>
  <si>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</si>
  <si>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</si>
  <si>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</si>
  <si>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</si>
  <si>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</si>
  <si>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</si>
  <si>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</si>
  <si>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</si>
  <si>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</si>
  <si>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</si>
  <si>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</si>
  <si>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</si>
  <si>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</si>
  <si>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</si>
  <si>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</si>
  <si>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</si>
  <si>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</si>
  <si>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</si>
  <si>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</si>
  <si>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</si>
  <si>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</si>
  <si>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</si>
  <si>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</si>
  <si>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</si>
  <si>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</si>
  <si>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</si>
  <si>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</si>
  <si>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</si>
  <si>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</si>
  <si>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</si>
  <si>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</si>
  <si>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</si>
  <si>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</si>
  <si>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</si>
  <si>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</si>
  <si>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</si>
  <si>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</si>
  <si>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</si>
  <si>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</si>
  <si>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</si>
  <si>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</si>
  <si>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</si>
  <si>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</si>
  <si>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</si>
  <si>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</si>
  <si>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</si>
  <si>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</si>
  <si>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</si>
  <si>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</si>
  <si>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</si>
  <si>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</si>
  <si>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</si>
  <si>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</si>
  <si>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</si>
  <si>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</si>
  <si>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</si>
  <si>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</si>
  <si>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</si>
  <si>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</si>
  <si>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</si>
  <si>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</si>
  <si>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</si>
  <si>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</si>
  <si>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</si>
  <si>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</si>
  <si>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</si>
  <si>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</si>
  <si>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</si>
  <si>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</si>
  <si>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</si>
  <si>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</si>
  <si>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</si>
  <si>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</si>
  <si>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</si>
  <si>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</si>
  <si>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</si>
  <si>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</si>
  <si>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</si>
  <si>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</si>
  <si>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</si>
  <si>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</si>
  <si>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</si>
  <si>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</si>
  <si>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</si>
  <si>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</si>
  <si>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</si>
  <si>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</si>
  <si>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</si>
  <si>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</si>
  <si>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</si>
  <si>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</si>
  <si>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</si>
  <si>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</si>
  <si>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</si>
  <si>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</si>
  <si>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</si>
  <si>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</si>
  <si>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</si>
  <si>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</si>
  <si>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</si>
  <si>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</si>
  <si>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by: M. Dwyer</t>
  </si>
  <si>
    <t>Annual Energy Outlook 2018, Release Date April 2018, Reference Case Forecast</t>
  </si>
  <si>
    <t>https://www.eia.gov/outlooks/aeo/data/browser/#/?id=3-AEO2018&amp;cases=ref2018&amp;sourcekey=0</t>
  </si>
  <si>
    <t>H2</t>
  </si>
  <si>
    <t>Btu/kg</t>
  </si>
  <si>
    <t>2017 Dollars per Million BTU (per kg for H2)</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</si>
  <si>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</si>
  <si>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</si>
  <si>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</si>
  <si>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</si>
  <si>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</si>
  <si>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</si>
  <si>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</si>
  <si>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</si>
  <si>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</si>
  <si>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</si>
  <si>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</si>
  <si>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</si>
  <si>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</si>
  <si>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</si>
  <si>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</si>
  <si>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</si>
  <si>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</si>
  <si>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</si>
  <si>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</si>
  <si>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</si>
  <si>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</si>
  <si>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</si>
  <si>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</si>
  <si>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</si>
  <si>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</si>
  <si>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</si>
  <si>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</si>
  <si>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</si>
  <si>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</si>
  <si>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</si>
  <si>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</si>
  <si>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</si>
  <si>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</si>
  <si>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</si>
  <si>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</si>
  <si>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</si>
  <si>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</si>
  <si>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</si>
  <si>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</si>
  <si>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</si>
  <si>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</si>
  <si>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</si>
  <si>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</si>
  <si>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</si>
  <si>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</si>
  <si>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</si>
  <si>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</si>
  <si>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</si>
  <si>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</si>
  <si>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</si>
  <si>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</si>
  <si>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</si>
  <si>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</si>
  <si>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</si>
  <si>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</si>
  <si>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</si>
  <si>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</si>
  <si>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</si>
  <si>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</si>
  <si>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</si>
  <si>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</si>
  <si>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</si>
  <si>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</si>
  <si>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</si>
  <si>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</si>
  <si>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</si>
  <si>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</si>
  <si>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</si>
  <si>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</si>
  <si>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</si>
  <si>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</si>
  <si>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</si>
  <si>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</si>
  <si>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</si>
  <si>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</si>
  <si>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</si>
  <si>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</si>
  <si>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</si>
  <si>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</si>
  <si>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</si>
  <si>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</si>
  <si>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</si>
  <si>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</si>
  <si>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</si>
  <si>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</si>
  <si>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</si>
  <si>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</si>
  <si>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</si>
  <si>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</si>
  <si>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</si>
  <si>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</si>
  <si>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</si>
  <si>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</si>
  <si>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</si>
  <si>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</si>
  <si>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</si>
  <si>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</si>
  <si>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</si>
  <si>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</si>
  <si>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</si>
  <si>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</si>
  <si>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</si>
  <si>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</si>
  <si>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</si>
  <si>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</si>
  <si>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</si>
  <si>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</si>
  <si>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</si>
  <si>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</si>
  <si>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</si>
  <si>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</si>
  <si>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</si>
  <si>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2017 Dollars Per Gallon-Diesel Equivalent</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</si>
  <si>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</si>
  <si>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</si>
  <si>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</si>
  <si>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</si>
  <si>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</si>
  <si>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</si>
  <si>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</si>
  <si>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</si>
  <si>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</si>
  <si>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</si>
  <si>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</si>
  <si>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</si>
  <si>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</si>
  <si>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</si>
  <si>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</si>
  <si>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</si>
  <si>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</si>
  <si>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</si>
  <si>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</si>
  <si>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</si>
  <si>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</si>
  <si>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</si>
  <si>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</si>
  <si>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</si>
  <si>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</si>
  <si>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</si>
  <si>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</si>
  <si>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</si>
  <si>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</si>
  <si>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</si>
  <si>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</si>
  <si>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</si>
  <si>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</si>
  <si>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</si>
  <si>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</si>
  <si>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</si>
  <si>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</si>
  <si>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2017 Dollars per Million BTU</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</si>
  <si>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</si>
  <si>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</si>
  <si>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</si>
  <si>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</si>
  <si>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</si>
  <si>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</si>
  <si>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</si>
  <si>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</si>
  <si>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</si>
  <si>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</si>
  <si>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</si>
  <si>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</si>
  <si>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</si>
  <si>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</si>
  <si>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</si>
  <si>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</si>
  <si>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</si>
  <si>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</si>
  <si>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</si>
  <si>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</si>
  <si>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six technology platforms specified separately for three truck market sectors based on incremental costs and fuel economy.  Additonal inputs inlcude technology preferences, mileage-dependent costs, fuel availability, and payback curves</t>
  </si>
  <si>
    <t>Last Modified: April 2019</t>
  </si>
  <si>
    <t>TRUCK Class 7-8 Heavy Market Penetration Model version v5.1</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</si>
  <si>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</si>
  <si>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</si>
  <si>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</si>
  <si>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</si>
  <si>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</si>
  <si>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</si>
  <si>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</si>
  <si>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</si>
  <si>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</si>
  <si>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</si>
  <si>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</si>
  <si>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</si>
  <si>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</si>
  <si>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</si>
  <si>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</si>
  <si>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</si>
  <si>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</si>
  <si>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</si>
  <si>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</si>
  <si>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</si>
  <si>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</si>
  <si>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</si>
  <si>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</si>
  <si>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</si>
  <si>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</si>
  <si>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</si>
  <si>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</si>
  <si>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</si>
  <si>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</si>
  <si>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</si>
  <si>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</si>
  <si>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</si>
  <si>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</si>
  <si>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</si>
  <si>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AEO2019 Reference Case</t>
  </si>
  <si>
    <t>Updated: 11/1/2019</t>
  </si>
  <si>
    <t>Source: AEO 2019</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</si>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</sst>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cellStyleXfs>
  <cellXfs count="1667">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1" fontId="33" fillId="24" borderId="47" xfId="44" applyNumberFormat="1" applyFont="1" applyFill="1" applyBorder="1"/>
    <xf numFmtId="1" fontId="33" fillId="24" borderId="48" xfId="44" applyNumberFormat="1" applyFont="1" applyFill="1" applyBorder="1"/>
    <xf numFmtId="1" fontId="33" fillId="24" borderId="49" xfId="44" applyNumberFormat="1" applyFont="1" applyFill="1" applyBorder="1"/>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24" borderId="101" xfId="41" applyFont="1" applyFill="1" applyBorder="1"/>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168" fontId="33" fillId="24" borderId="98" xfId="41" applyNumberFormat="1" applyFont="1" applyFill="1" applyBorder="1"/>
    <xf numFmtId="0" fontId="33" fillId="24" borderId="77" xfId="41" applyFont="1" applyFill="1" applyBorder="1"/>
    <xf numFmtId="0" fontId="33" fillId="24" borderId="99" xfId="41" applyFont="1" applyFill="1" applyBorder="1"/>
    <xf numFmtId="0" fontId="33" fillId="24" borderId="48" xfId="41" applyFont="1" applyFill="1" applyBorder="1"/>
    <xf numFmtId="168" fontId="33" fillId="24" borderId="79" xfId="41" applyNumberFormat="1" applyFont="1" applyFill="1" applyBorder="1"/>
    <xf numFmtId="168" fontId="33" fillId="24" borderId="77" xfId="41" applyNumberFormat="1" applyFont="1" applyFill="1" applyBorder="1"/>
    <xf numFmtId="168" fontId="33" fillId="24" borderId="99" xfId="41" applyNumberFormat="1" applyFont="1" applyFill="1" applyBorder="1"/>
    <xf numFmtId="0" fontId="33" fillId="24" borderId="105" xfId="41" applyFont="1" applyFill="1" applyBorder="1"/>
    <xf numFmtId="0" fontId="33" fillId="24" borderId="100" xfId="41" applyFont="1" applyFill="1" applyBorder="1"/>
    <xf numFmtId="168" fontId="33" fillId="24" borderId="107" xfId="41" applyNumberFormat="1" applyFont="1" applyFill="1" applyBorder="1"/>
    <xf numFmtId="168" fontId="33" fillId="24" borderId="105" xfId="41" applyNumberFormat="1" applyFont="1" applyFill="1" applyBorder="1"/>
    <xf numFmtId="168" fontId="33" fillId="24" borderId="100" xfId="41" applyNumberFormat="1" applyFont="1" applyFill="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171" fontId="25" fillId="0" borderId="15" xfId="0" applyNumberFormat="1" applyFont="1" applyFill="1" applyBorder="1" applyAlignment="1" applyProtection="1">
      <alignment horizontal="center"/>
    </xf>
    <xf numFmtId="171" fontId="25" fillId="29" borderId="15" xfId="0" applyNumberFormat="1" applyFont="1" applyFill="1" applyBorder="1" applyAlignment="1" applyProtection="1">
      <alignment horizontal="center"/>
    </xf>
    <xf numFmtId="171" fontId="25" fillId="29" borderId="17" xfId="0" applyNumberFormat="1" applyFont="1" applyFill="1" applyBorder="1" applyAlignment="1" applyProtection="1">
      <alignment horizontal="center"/>
    </xf>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3"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3" xfId="41" applyFont="1" applyFill="1" applyBorder="1"/>
    <xf numFmtId="0" fontId="74" fillId="24" borderId="10" xfId="41" applyFont="1" applyFill="1" applyBorder="1"/>
    <xf numFmtId="0" fontId="74" fillId="24" borderId="132" xfId="41" applyFont="1" applyFill="1" applyBorder="1"/>
    <xf numFmtId="168" fontId="74" fillId="24" borderId="174" xfId="41" applyNumberFormat="1" applyFont="1" applyFill="1" applyBorder="1"/>
    <xf numFmtId="168" fontId="74" fillId="24" borderId="173" xfId="41" applyNumberFormat="1" applyFont="1" applyFill="1" applyBorder="1"/>
    <xf numFmtId="168" fontId="74" fillId="24" borderId="10" xfId="41" applyNumberFormat="1" applyFont="1" applyFill="1" applyBorder="1"/>
    <xf numFmtId="1" fontId="74" fillId="24" borderId="132"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74" fillId="24" borderId="77" xfId="41" applyFont="1" applyFill="1" applyBorder="1" applyAlignment="1"/>
    <xf numFmtId="0" fontId="74" fillId="24" borderId="78" xfId="41" applyFont="1" applyFill="1" applyBorder="1" applyAlignment="1"/>
    <xf numFmtId="0" fontId="74" fillId="24" borderId="79" xfId="41" applyFont="1" applyFill="1" applyBorder="1" applyAlignment="1"/>
    <xf numFmtId="0" fontId="33" fillId="24" borderId="114" xfId="41" applyFont="1" applyFill="1" applyBorder="1" applyAlignment="1"/>
    <xf numFmtId="0" fontId="33" fillId="24" borderId="112" xfId="41" applyFont="1" applyFill="1" applyBorder="1" applyAlignment="1"/>
    <xf numFmtId="0" fontId="33" fillId="24" borderId="113" xfId="41" applyFont="1" applyFill="1" applyBorder="1" applyAlignment="1"/>
    <xf numFmtId="0" fontId="33" fillId="24" borderId="105" xfId="41" applyFont="1" applyFill="1" applyBorder="1" applyAlignment="1"/>
    <xf numFmtId="0" fontId="33" fillId="24" borderId="116" xfId="41" applyFont="1" applyFill="1" applyBorder="1" applyAlignment="1"/>
    <xf numFmtId="0" fontId="33" fillId="24" borderId="107" xfId="41" applyFont="1" applyFill="1" applyBorder="1" applyAlignment="1"/>
    <xf numFmtId="0" fontId="34" fillId="0" borderId="10" xfId="41" applyFont="1" applyBorder="1" applyAlignment="1">
      <alignment horizontal="right"/>
    </xf>
    <xf numFmtId="0" fontId="74" fillId="24" borderId="173" xfId="41" applyFont="1" applyFill="1" applyBorder="1" applyAlignment="1"/>
    <xf numFmtId="0" fontId="74" fillId="24" borderId="57" xfId="41" applyFont="1" applyFill="1" applyBorder="1" applyAlignment="1"/>
    <xf numFmtId="0" fontId="74" fillId="24" borderId="174" xfId="41" applyFont="1" applyFill="1" applyBorder="1" applyAlignment="1"/>
    <xf numFmtId="0" fontId="33" fillId="24" borderId="173" xfId="41" applyFont="1" applyFill="1" applyBorder="1"/>
    <xf numFmtId="0" fontId="33" fillId="24" borderId="10" xfId="41" applyFont="1" applyFill="1" applyBorder="1"/>
    <xf numFmtId="168" fontId="33" fillId="24" borderId="174" xfId="41" applyNumberFormat="1" applyFont="1" applyFill="1" applyBorder="1"/>
    <xf numFmtId="168" fontId="33" fillId="24" borderId="173" xfId="41" applyNumberFormat="1" applyFont="1" applyFill="1" applyBorder="1"/>
    <xf numFmtId="168" fontId="33" fillId="24" borderId="10" xfId="41" applyNumberFormat="1" applyFont="1" applyFill="1" applyBorder="1"/>
    <xf numFmtId="1" fontId="33" fillId="24" borderId="132" xfId="44" applyNumberFormat="1" applyFont="1" applyFill="1" applyBorder="1"/>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42" xfId="0" applyFont="1" applyFill="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65" fillId="34" borderId="53" xfId="0" applyFont="1" applyFill="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5"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25" fillId="37" borderId="0" xfId="0" applyFont="1" applyFill="1" applyAlignment="1">
      <alignment horizontal="left" indent="2"/>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125" xfId="0" applyFont="1" applyFill="1" applyBorder="1" applyAlignment="1">
      <alignment horizontal="center"/>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0" fontId="24" fillId="0" borderId="0" xfId="0" applyFont="1" applyAlignment="1">
      <alignment horizontal="center"/>
    </xf>
    <xf numFmtId="0" fontId="25" fillId="0" borderId="74" xfId="0" applyFont="1" applyBorder="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0" fontId="65" fillId="0" borderId="90" xfId="0" applyFont="1" applyBorder="1" applyAlignment="1">
      <alignment horizontal="center"/>
    </xf>
    <xf numFmtId="0" fontId="65" fillId="0" borderId="91" xfId="0" applyFont="1" applyBorder="1" applyAlignment="1">
      <alignment horizontal="center"/>
    </xf>
    <xf numFmtId="169" fontId="91" fillId="24" borderId="19" xfId="0" applyNumberFormat="1" applyFont="1" applyFill="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8"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4" fontId="20" fillId="0" borderId="0" xfId="0" applyNumberFormat="1"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93" fillId="0" borderId="0" xfId="0" applyFont="1"/>
    <xf numFmtId="168" fontId="91" fillId="24" borderId="23" xfId="0" applyNumberFormat="1" applyFont="1" applyFill="1" applyBorder="1" applyAlignment="1">
      <alignment horizontal="center"/>
    </xf>
    <xf numFmtId="169" fontId="70" fillId="24" borderId="55" xfId="0" applyNumberFormat="1" applyFont="1" applyFill="1" applyBorder="1" applyAlignment="1">
      <alignment horizontal="center"/>
    </xf>
    <xf numFmtId="168" fontId="91" fillId="24" borderId="60" xfId="0" applyNumberFormat="1" applyFont="1" applyFill="1" applyBorder="1" applyAlignment="1">
      <alignment horizontal="center"/>
    </xf>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24" borderId="21" xfId="0" applyNumberFormat="1" applyFont="1" applyFill="1" applyBorder="1" applyAlignment="1">
      <alignment horizontal="center"/>
    </xf>
    <xf numFmtId="168" fontId="70" fillId="24" borderId="56" xfId="0" applyNumberFormat="1" applyFont="1" applyFill="1" applyBorder="1" applyAlignment="1">
      <alignment horizontal="center"/>
    </xf>
    <xf numFmtId="168" fontId="70" fillId="24" borderId="15" xfId="0" applyNumberFormat="1" applyFont="1" applyFill="1" applyBorder="1" applyAlignment="1">
      <alignment horizontal="center"/>
    </xf>
    <xf numFmtId="168" fontId="70" fillId="24" borderId="24" xfId="0" applyNumberFormat="1" applyFont="1" applyFill="1" applyBorder="1" applyAlignment="1">
      <alignment horizontal="center"/>
    </xf>
    <xf numFmtId="168" fontId="70" fillId="24" borderId="17" xfId="0" applyNumberFormat="1" applyFont="1" applyFill="1" applyBorder="1" applyAlignment="1">
      <alignment horizontal="center"/>
    </xf>
    <xf numFmtId="168" fontId="70" fillId="24" borderId="19" xfId="0" applyNumberFormat="1" applyFont="1" applyFill="1" applyBorder="1" applyAlignment="1">
      <alignment horizontal="center"/>
    </xf>
    <xf numFmtId="168" fontId="70" fillId="24" borderId="12" xfId="0" applyNumberFormat="1" applyFont="1" applyFill="1" applyBorder="1" applyAlignment="1">
      <alignment horizontal="center"/>
    </xf>
    <xf numFmtId="168" fontId="70" fillId="24" borderId="54" xfId="0" applyNumberFormat="1" applyFont="1" applyFill="1" applyBorder="1" applyAlignment="1">
      <alignment horizontal="center"/>
    </xf>
    <xf numFmtId="168" fontId="70" fillId="24" borderId="20" xfId="0" applyNumberFormat="1" applyFont="1" applyFill="1" applyBorder="1" applyAlignment="1">
      <alignment horizontal="center"/>
    </xf>
    <xf numFmtId="168" fontId="70" fillId="24" borderId="55" xfId="0" applyNumberFormat="1" applyFont="1" applyFill="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177" fontId="70" fillId="24" borderId="60" xfId="0" applyNumberFormat="1" applyFont="1" applyFill="1" applyBorder="1" applyAlignment="1">
      <alignment horizontal="center"/>
    </xf>
    <xf numFmtId="165" fontId="70" fillId="24" borderId="21" xfId="0" applyNumberFormat="1" applyFont="1" applyFill="1" applyBorder="1" applyAlignment="1">
      <alignment horizontal="center"/>
    </xf>
    <xf numFmtId="177" fontId="70" fillId="24" borderId="22" xfId="0" applyNumberFormat="1" applyFont="1" applyFill="1" applyBorder="1" applyAlignment="1">
      <alignment horizontal="center"/>
    </xf>
    <xf numFmtId="165" fontId="70" fillId="24" borderId="15" xfId="0" applyNumberFormat="1" applyFont="1" applyFill="1" applyBorder="1" applyAlignment="1">
      <alignment horizontal="center"/>
    </xf>
    <xf numFmtId="177" fontId="70" fillId="24" borderId="23" xfId="0" applyNumberFormat="1" applyFont="1" applyFill="1" applyBorder="1" applyAlignment="1">
      <alignment horizontal="center"/>
    </xf>
    <xf numFmtId="165" fontId="70" fillId="24" borderId="17" xfId="0" applyNumberFormat="1" applyFont="1" applyFill="1" applyBorder="1" applyAlignment="1">
      <alignment horizontal="center"/>
    </xf>
    <xf numFmtId="177" fontId="70" fillId="24" borderId="163" xfId="0" applyNumberFormat="1" applyFont="1" applyFill="1" applyBorder="1" applyAlignment="1">
      <alignment horizontal="center"/>
    </xf>
    <xf numFmtId="165" fontId="70" fillId="24" borderId="12" xfId="0" applyNumberFormat="1" applyFont="1" applyFill="1" applyBorder="1" applyAlignment="1">
      <alignment horizontal="center"/>
    </xf>
    <xf numFmtId="169" fontId="70" fillId="24" borderId="17" xfId="0" applyNumberFormat="1" applyFont="1" applyFill="1" applyBorder="1" applyAlignment="1">
      <alignment horizontal="center"/>
    </xf>
    <xf numFmtId="169" fontId="70" fillId="24" borderId="12" xfId="0" applyNumberFormat="1" applyFont="1" applyFill="1" applyBorder="1" applyAlignment="1">
      <alignment horizontal="center"/>
    </xf>
    <xf numFmtId="165" fontId="91" fillId="24" borderId="17" xfId="0" applyNumberFormat="1" applyFont="1" applyFill="1" applyBorder="1" applyAlignment="1">
      <alignment horizontal="center"/>
    </xf>
    <xf numFmtId="169" fontId="91" fillId="24" borderId="17" xfId="0" applyNumberFormat="1" applyFont="1" applyFill="1" applyBorder="1" applyAlignment="1">
      <alignment horizontal="center"/>
    </xf>
    <xf numFmtId="169" fontId="70" fillId="24" borderId="15" xfId="0" applyNumberFormat="1" applyFont="1" applyFill="1" applyBorder="1" applyAlignment="1">
      <alignment horizontal="center"/>
    </xf>
    <xf numFmtId="177" fontId="70" fillId="24" borderId="25" xfId="0" applyNumberFormat="1" applyFont="1" applyFill="1" applyBorder="1" applyAlignment="1">
      <alignment horizontal="center"/>
    </xf>
    <xf numFmtId="169" fontId="70" fillId="24" borderId="21" xfId="0" applyNumberFormat="1" applyFont="1" applyFill="1" applyBorder="1" applyAlignment="1">
      <alignment horizontal="center"/>
    </xf>
    <xf numFmtId="4" fontId="70" fillId="24" borderId="60" xfId="0" applyNumberFormat="1" applyFont="1" applyFill="1" applyBorder="1" applyAlignment="1">
      <alignment horizontal="center"/>
    </xf>
    <xf numFmtId="4" fontId="70" fillId="24" borderId="21" xfId="0" applyNumberFormat="1" applyFont="1" applyFill="1" applyBorder="1" applyAlignment="1">
      <alignment horizontal="center"/>
    </xf>
    <xf numFmtId="4" fontId="70" fillId="24" borderId="22" xfId="0" applyNumberFormat="1" applyFont="1" applyFill="1" applyBorder="1" applyAlignment="1">
      <alignment horizontal="center"/>
    </xf>
    <xf numFmtId="4" fontId="70" fillId="24" borderId="15" xfId="0" applyNumberFormat="1" applyFont="1" applyFill="1" applyBorder="1" applyAlignment="1">
      <alignment horizontal="center"/>
    </xf>
    <xf numFmtId="4" fontId="70" fillId="24" borderId="23" xfId="0" applyNumberFormat="1" applyFont="1" applyFill="1" applyBorder="1" applyAlignment="1">
      <alignment horizontal="center"/>
    </xf>
    <xf numFmtId="4" fontId="70" fillId="24" borderId="17" xfId="0" applyNumberFormat="1" applyFont="1" applyFill="1" applyBorder="1" applyAlignment="1">
      <alignment horizontal="center"/>
    </xf>
    <xf numFmtId="4" fontId="70" fillId="24" borderId="163" xfId="0" applyNumberFormat="1" applyFont="1" applyFill="1" applyBorder="1" applyAlignment="1">
      <alignment horizontal="center"/>
    </xf>
    <xf numFmtId="4" fontId="70" fillId="24" borderId="12" xfId="0" applyNumberFormat="1" applyFont="1" applyFill="1" applyBorder="1" applyAlignment="1">
      <alignment horizontal="center"/>
    </xf>
    <xf numFmtId="4" fontId="70" fillId="24" borderId="25" xfId="0" applyNumberFormat="1" applyFont="1" applyFill="1" applyBorder="1" applyAlignment="1">
      <alignment horizontal="center"/>
    </xf>
    <xf numFmtId="4" fontId="70" fillId="24" borderId="20" xfId="0" applyNumberFormat="1" applyFont="1" applyFill="1" applyBorder="1" applyAlignment="1">
      <alignment horizontal="center"/>
    </xf>
    <xf numFmtId="168" fontId="80" fillId="24" borderId="23" xfId="0" applyNumberFormat="1" applyFont="1" applyFill="1" applyBorder="1" applyAlignment="1">
      <alignment horizontal="center"/>
    </xf>
    <xf numFmtId="169" fontId="70" fillId="24" borderId="60" xfId="0" applyNumberFormat="1" applyFont="1" applyFill="1" applyBorder="1" applyAlignment="1">
      <alignment horizontal="center"/>
    </xf>
    <xf numFmtId="169" fontId="70" fillId="24" borderId="22" xfId="0" applyNumberFormat="1" applyFont="1" applyFill="1" applyBorder="1" applyAlignment="1">
      <alignment horizontal="center"/>
    </xf>
    <xf numFmtId="169" fontId="70" fillId="24" borderId="23" xfId="0" applyNumberFormat="1" applyFont="1" applyFill="1" applyBorder="1" applyAlignment="1">
      <alignment horizontal="center"/>
    </xf>
    <xf numFmtId="169" fontId="70" fillId="24" borderId="163" xfId="0" applyNumberFormat="1" applyFont="1" applyFill="1" applyBorder="1" applyAlignment="1">
      <alignment horizontal="center"/>
    </xf>
    <xf numFmtId="169" fontId="70" fillId="24" borderId="25"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4" fillId="34" borderId="41" xfId="0" applyFont="1" applyFill="1" applyBorder="1" applyAlignment="1">
      <alignment horizontal="center" wrapText="1"/>
    </xf>
    <xf numFmtId="0" fontId="0" fillId="34" borderId="0" xfId="0" applyFill="1"/>
    <xf numFmtId="2" fontId="65" fillId="34" borderId="0" xfId="0" applyNumberFormat="1" applyFont="1" applyFill="1"/>
    <xf numFmtId="2" fontId="65" fillId="34" borderId="41" xfId="0" applyNumberFormat="1" applyFont="1" applyFill="1" applyBorder="1"/>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99"/>
      <color rgb="FF008000"/>
      <color rgb="FFFFFF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6.8286373326560339</c:v>
                </c:pt>
                <c:pt idx="1">
                  <c:v>6.9737095451421931</c:v>
                </c:pt>
                <c:pt idx="2">
                  <c:v>7.1145988854730335</c:v>
                </c:pt>
                <c:pt idx="3">
                  <c:v>7.2611988927393014</c:v>
                </c:pt>
                <c:pt idx="4">
                  <c:v>7.4034607001476846</c:v>
                </c:pt>
                <c:pt idx="5">
                  <c:v>7.5834844603463765</c:v>
                </c:pt>
                <c:pt idx="6">
                  <c:v>7.7778665274939502</c:v>
                </c:pt>
                <c:pt idx="7">
                  <c:v>7.8497723897288623</c:v>
                </c:pt>
                <c:pt idx="8">
                  <c:v>8.0071411369221437</c:v>
                </c:pt>
                <c:pt idx="9">
                  <c:v>8.1418309302354928</c:v>
                </c:pt>
                <c:pt idx="10">
                  <c:v>8.1580575988836124</c:v>
                </c:pt>
                <c:pt idx="11">
                  <c:v>8.174284267531732</c:v>
                </c:pt>
                <c:pt idx="12">
                  <c:v>8.1905109361798498</c:v>
                </c:pt>
                <c:pt idx="13">
                  <c:v>8.2067376048279677</c:v>
                </c:pt>
                <c:pt idx="14">
                  <c:v>8.2229642734760873</c:v>
                </c:pt>
                <c:pt idx="15">
                  <c:v>8.2229642734760873</c:v>
                </c:pt>
                <c:pt idx="16">
                  <c:v>8.2229642734760873</c:v>
                </c:pt>
                <c:pt idx="17">
                  <c:v>8.2229642734760873</c:v>
                </c:pt>
                <c:pt idx="18">
                  <c:v>8.2229642734760873</c:v>
                </c:pt>
                <c:pt idx="19">
                  <c:v>8.2229642734760873</c:v>
                </c:pt>
                <c:pt idx="20">
                  <c:v>8.2229642734760873</c:v>
                </c:pt>
                <c:pt idx="21">
                  <c:v>8.2229642734760873</c:v>
                </c:pt>
                <c:pt idx="22">
                  <c:v>8.2229642734760873</c:v>
                </c:pt>
                <c:pt idx="23">
                  <c:v>8.2229642734760873</c:v>
                </c:pt>
                <c:pt idx="24">
                  <c:v>8.2229642734760873</c:v>
                </c:pt>
                <c:pt idx="25">
                  <c:v>8.2229642734760873</c:v>
                </c:pt>
                <c:pt idx="26">
                  <c:v>8.2229642734760873</c:v>
                </c:pt>
                <c:pt idx="27">
                  <c:v>8.2229642734760873</c:v>
                </c:pt>
                <c:pt idx="28">
                  <c:v>8.2229642734760873</c:v>
                </c:pt>
                <c:pt idx="29">
                  <c:v>8.2229642734760873</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6.9677403863325713</c:v>
                </c:pt>
                <c:pt idx="1">
                  <c:v>7.2544666022328474</c:v>
                </c:pt>
                <c:pt idx="2">
                  <c:v>7.5392218166373448</c:v>
                </c:pt>
                <c:pt idx="3">
                  <c:v>7.8323543679898586</c:v>
                </c:pt>
                <c:pt idx="4">
                  <c:v>8.1230803296635674</c:v>
                </c:pt>
                <c:pt idx="5">
                  <c:v>8.4580394234536715</c:v>
                </c:pt>
                <c:pt idx="6">
                  <c:v>8.8126507096394544</c:v>
                </c:pt>
                <c:pt idx="7">
                  <c:v>9.0301382440354931</c:v>
                </c:pt>
                <c:pt idx="8">
                  <c:v>9.3468821582126083</c:v>
                </c:pt>
                <c:pt idx="9">
                  <c:v>9.6391212325295701</c:v>
                </c:pt>
                <c:pt idx="10">
                  <c:v>9.6583320006773654</c:v>
                </c:pt>
                <c:pt idx="11">
                  <c:v>9.6775427688251607</c:v>
                </c:pt>
                <c:pt idx="12">
                  <c:v>9.6967535369729543</c:v>
                </c:pt>
                <c:pt idx="13">
                  <c:v>9.7159643051207478</c:v>
                </c:pt>
                <c:pt idx="14">
                  <c:v>9.7351750732685431</c:v>
                </c:pt>
                <c:pt idx="15">
                  <c:v>9.7351750732685431</c:v>
                </c:pt>
                <c:pt idx="16">
                  <c:v>9.7351750732685431</c:v>
                </c:pt>
                <c:pt idx="17">
                  <c:v>9.7351750732685431</c:v>
                </c:pt>
                <c:pt idx="18">
                  <c:v>9.7351750732685431</c:v>
                </c:pt>
                <c:pt idx="19">
                  <c:v>9.7351750732685431</c:v>
                </c:pt>
                <c:pt idx="20">
                  <c:v>9.7351750732685431</c:v>
                </c:pt>
                <c:pt idx="21">
                  <c:v>9.7351750732685431</c:v>
                </c:pt>
                <c:pt idx="22">
                  <c:v>9.7351750732685431</c:v>
                </c:pt>
                <c:pt idx="23">
                  <c:v>9.7351750732685431</c:v>
                </c:pt>
                <c:pt idx="24">
                  <c:v>9.7351750732685431</c:v>
                </c:pt>
                <c:pt idx="25">
                  <c:v>9.7351750732685431</c:v>
                </c:pt>
                <c:pt idx="26">
                  <c:v>9.7351750732685431</c:v>
                </c:pt>
                <c:pt idx="27">
                  <c:v>9.7351750732685431</c:v>
                </c:pt>
                <c:pt idx="28">
                  <c:v>9.7351750732685431</c:v>
                </c:pt>
                <c:pt idx="29">
                  <c:v>9.7351750732685431</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7.3437271718654449</c:v>
                </c:pt>
                <c:pt idx="1">
                  <c:v>7.6518896391498439</c:v>
                </c:pt>
                <c:pt idx="2">
                  <c:v>7.9580735243624057</c:v>
                </c:pt>
                <c:pt idx="3">
                  <c:v>8.2731964640089828</c:v>
                </c:pt>
                <c:pt idx="4">
                  <c:v>8.5858698131549591</c:v>
                </c:pt>
                <c:pt idx="5">
                  <c:v>8.9454083517288723</c:v>
                </c:pt>
                <c:pt idx="6">
                  <c:v>9.32587460164868</c:v>
                </c:pt>
                <c:pt idx="7">
                  <c:v>9.5612951778514503</c:v>
                </c:pt>
                <c:pt idx="8">
                  <c:v>9.9018463883889982</c:v>
                </c:pt>
                <c:pt idx="9">
                  <c:v>10.216511802190341</c:v>
                </c:pt>
                <c:pt idx="10">
                  <c:v>10.236873309715401</c:v>
                </c:pt>
                <c:pt idx="11">
                  <c:v>10.257234817240459</c:v>
                </c:pt>
                <c:pt idx="12">
                  <c:v>10.277596324765515</c:v>
                </c:pt>
                <c:pt idx="13">
                  <c:v>10.297957832290571</c:v>
                </c:pt>
                <c:pt idx="14">
                  <c:v>10.318319339815629</c:v>
                </c:pt>
                <c:pt idx="15">
                  <c:v>10.318319339815629</c:v>
                </c:pt>
                <c:pt idx="16">
                  <c:v>10.318319339815629</c:v>
                </c:pt>
                <c:pt idx="17">
                  <c:v>10.318319339815629</c:v>
                </c:pt>
                <c:pt idx="18">
                  <c:v>10.318319339815629</c:v>
                </c:pt>
                <c:pt idx="19">
                  <c:v>10.318319339815629</c:v>
                </c:pt>
                <c:pt idx="20">
                  <c:v>10.318319339815629</c:v>
                </c:pt>
                <c:pt idx="21">
                  <c:v>10.318319339815629</c:v>
                </c:pt>
                <c:pt idx="22">
                  <c:v>10.318319339815629</c:v>
                </c:pt>
                <c:pt idx="23">
                  <c:v>10.318319339815629</c:v>
                </c:pt>
                <c:pt idx="24">
                  <c:v>10.318319339815629</c:v>
                </c:pt>
                <c:pt idx="25">
                  <c:v>10.318319339815629</c:v>
                </c:pt>
                <c:pt idx="26">
                  <c:v>10.318319339815629</c:v>
                </c:pt>
                <c:pt idx="27">
                  <c:v>10.318319339815629</c:v>
                </c:pt>
                <c:pt idx="28">
                  <c:v>10.318319339815629</c:v>
                </c:pt>
                <c:pt idx="29">
                  <c:v>10.318319339815629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7.9292309570911694</c:v>
                </c:pt>
                <c:pt idx="1">
                  <c:v>8.2538383274407092</c:v>
                </c:pt>
                <c:pt idx="2">
                  <c:v>8.5761748131235418</c:v>
                </c:pt>
                <c:pt idx="3">
                  <c:v>8.9080136615066419</c:v>
                </c:pt>
                <c:pt idx="4">
                  <c:v>9.2370892951987713</c:v>
                </c:pt>
                <c:pt idx="5">
                  <c:v>9.6164326093485641</c:v>
                </c:pt>
                <c:pt idx="6">
                  <c:v>10.018079206921627</c:v>
                </c:pt>
                <c:pt idx="7">
                  <c:v>10.263827719551157</c:v>
                </c:pt>
                <c:pt idx="8">
                  <c:v>10.622382776328237</c:v>
                </c:pt>
                <c:pt idx="9">
                  <c:v>10.953068094460582</c:v>
                </c:pt>
                <c:pt idx="10">
                  <c:v>11.085153665361142</c:v>
                </c:pt>
                <c:pt idx="11">
                  <c:v>11.217677842949264</c:v>
                </c:pt>
                <c:pt idx="12">
                  <c:v>11.350640627224942</c:v>
                </c:pt>
                <c:pt idx="13">
                  <c:v>11.484042018188184</c:v>
                </c:pt>
                <c:pt idx="14">
                  <c:v>11.617882015838985</c:v>
                </c:pt>
                <c:pt idx="15">
                  <c:v>11.617882015838985</c:v>
                </c:pt>
                <c:pt idx="16">
                  <c:v>11.617882015838985</c:v>
                </c:pt>
                <c:pt idx="17">
                  <c:v>11.617882015838985</c:v>
                </c:pt>
                <c:pt idx="18">
                  <c:v>11.617882015838985</c:v>
                </c:pt>
                <c:pt idx="19">
                  <c:v>11.617882015838985</c:v>
                </c:pt>
                <c:pt idx="20" formatCode="0.000">
                  <c:v>11.617882015838985</c:v>
                </c:pt>
                <c:pt idx="21" formatCode="0.000">
                  <c:v>11.617882015838985</c:v>
                </c:pt>
                <c:pt idx="22" formatCode="0.000">
                  <c:v>11.617882015838985</c:v>
                </c:pt>
                <c:pt idx="23" formatCode="0.000">
                  <c:v>11.617882015838985</c:v>
                </c:pt>
                <c:pt idx="24" formatCode="0.000">
                  <c:v>11.617882015838985</c:v>
                </c:pt>
                <c:pt idx="25" formatCode="0.000">
                  <c:v>11.617882015838985</c:v>
                </c:pt>
                <c:pt idx="26" formatCode="0.000">
                  <c:v>11.617882015838985</c:v>
                </c:pt>
                <c:pt idx="27" formatCode="0.000">
                  <c:v>11.617882015838985</c:v>
                </c:pt>
                <c:pt idx="28" formatCode="0.000">
                  <c:v>11.617882015838985</c:v>
                </c:pt>
                <c:pt idx="29">
                  <c:v>11.617882015838985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7.0504314314948404</c:v>
                </c:pt>
                <c:pt idx="1">
                  <c:v>7.4488102642537042</c:v>
                </c:pt>
                <c:pt idx="2">
                  <c:v>7.8469874978253111</c:v>
                </c:pt>
                <c:pt idx="3">
                  <c:v>8.2556319447034667</c:v>
                </c:pt>
                <c:pt idx="4">
                  <c:v>8.6634177702141368</c:v>
                </c:pt>
                <c:pt idx="5">
                  <c:v>9.1204118553382472</c:v>
                </c:pt>
                <c:pt idx="6">
                  <c:v>9.6011947858828037</c:v>
                </c:pt>
                <c:pt idx="7">
                  <c:v>9.9337418869726157</c:v>
                </c:pt>
                <c:pt idx="8">
                  <c:v>10.376129945130435</c:v>
                </c:pt>
                <c:pt idx="9">
                  <c:v>10.792657865825813</c:v>
                </c:pt>
                <c:pt idx="10">
                  <c:v>10.994489157215678</c:v>
                </c:pt>
                <c:pt idx="11">
                  <c:v>11.197037780543301</c:v>
                </c:pt>
                <c:pt idx="12">
                  <c:v>11.400303735808674</c:v>
                </c:pt>
                <c:pt idx="13">
                  <c:v>11.604287023011802</c:v>
                </c:pt>
                <c:pt idx="14">
                  <c:v>11.808987642152685</c:v>
                </c:pt>
                <c:pt idx="15">
                  <c:v>11.876974833159327</c:v>
                </c:pt>
                <c:pt idx="16">
                  <c:v>11.944962024165971</c:v>
                </c:pt>
                <c:pt idx="17">
                  <c:v>12.012949215172613</c:v>
                </c:pt>
                <c:pt idx="18">
                  <c:v>12.080936406179257</c:v>
                </c:pt>
                <c:pt idx="19">
                  <c:v>12.148923597185899</c:v>
                </c:pt>
                <c:pt idx="20" formatCode="0.000">
                  <c:v>12.216910788192545</c:v>
                </c:pt>
                <c:pt idx="21" formatCode="0.000">
                  <c:v>12.284897979199187</c:v>
                </c:pt>
                <c:pt idx="22" formatCode="0.000">
                  <c:v>12.352885170205829</c:v>
                </c:pt>
                <c:pt idx="23" formatCode="0.000">
                  <c:v>12.420872361212473</c:v>
                </c:pt>
                <c:pt idx="24" formatCode="0.000">
                  <c:v>12.488859552219115</c:v>
                </c:pt>
                <c:pt idx="25" formatCode="0.000">
                  <c:v>12.556846743225758</c:v>
                </c:pt>
                <c:pt idx="26" formatCode="0.000">
                  <c:v>12.624833934232401</c:v>
                </c:pt>
                <c:pt idx="27" formatCode="0.000">
                  <c:v>12.692821125239044</c:v>
                </c:pt>
                <c:pt idx="28" formatCode="0.000">
                  <c:v>12.760808316245686</c:v>
                </c:pt>
                <c:pt idx="29">
                  <c:v>12.828795507252339</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18.581967781609237</c:v>
                </c:pt>
                <c:pt idx="1">
                  <c:v>19.327587482878435</c:v>
                </c:pt>
                <c:pt idx="2">
                  <c:v>20.067635502293289</c:v>
                </c:pt>
                <c:pt idx="3">
                  <c:v>20.829674616056927</c:v>
                </c:pt>
                <c:pt idx="4">
                  <c:v>21.585018431463165</c:v>
                </c:pt>
                <c:pt idx="5">
                  <c:v>22.457543025098392</c:v>
                </c:pt>
                <c:pt idx="6">
                  <c:v>23.381790702890708</c:v>
                </c:pt>
                <c:pt idx="7">
                  <c:v>23.942017033520735</c:v>
                </c:pt>
                <c:pt idx="8">
                  <c:v>24.765291578104126</c:v>
                </c:pt>
                <c:pt idx="9">
                  <c:v>25.523402429727643</c:v>
                </c:pt>
                <c:pt idx="10">
                  <c:v>25.778639615966583</c:v>
                </c:pt>
                <c:pt idx="11">
                  <c:v>26.034689796906349</c:v>
                </c:pt>
                <c:pt idx="12">
                  <c:v>26.291552972546942</c:v>
                </c:pt>
                <c:pt idx="13">
                  <c:v>26.549229142888358</c:v>
                </c:pt>
                <c:pt idx="14">
                  <c:v>26.8077183079306</c:v>
                </c:pt>
                <c:pt idx="15">
                  <c:v>26.900826502224831</c:v>
                </c:pt>
                <c:pt idx="16">
                  <c:v>26.993934696519059</c:v>
                </c:pt>
                <c:pt idx="17">
                  <c:v>27.08704289081329</c:v>
                </c:pt>
                <c:pt idx="18">
                  <c:v>27.180151085107518</c:v>
                </c:pt>
                <c:pt idx="19">
                  <c:v>27.273259279401749</c:v>
                </c:pt>
                <c:pt idx="20" formatCode="0.000">
                  <c:v>27.366367473695977</c:v>
                </c:pt>
                <c:pt idx="21" formatCode="0.000">
                  <c:v>27.459475667990208</c:v>
                </c:pt>
                <c:pt idx="22" formatCode="0.000">
                  <c:v>27.552583862284436</c:v>
                </c:pt>
                <c:pt idx="23" formatCode="0.000">
                  <c:v>27.645692056578664</c:v>
                </c:pt>
                <c:pt idx="24" formatCode="0.000">
                  <c:v>27.738800250872895</c:v>
                </c:pt>
                <c:pt idx="25" formatCode="0.000">
                  <c:v>27.831908445167123</c:v>
                </c:pt>
                <c:pt idx="26" formatCode="0.000">
                  <c:v>27.925016639461354</c:v>
                </c:pt>
                <c:pt idx="27" formatCode="0.000">
                  <c:v>28.018124833755582</c:v>
                </c:pt>
                <c:pt idx="28" formatCode="0.000">
                  <c:v>28.111233028049813</c:v>
                </c:pt>
                <c:pt idx="29">
                  <c:v>28.204341222344038</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0.35408420295748527</c:v>
                </c:pt>
                <c:pt idx="24">
                  <c:v>0.34671782716052024</c:v>
                </c:pt>
                <c:pt idx="25">
                  <c:v>0.34043707382178034</c:v>
                </c:pt>
                <c:pt idx="26">
                  <c:v>0.33237378996800238</c:v>
                </c:pt>
                <c:pt idx="27">
                  <c:v>0.32062720270800033</c:v>
                </c:pt>
                <c:pt idx="28">
                  <c:v>0.30844577286276931</c:v>
                </c:pt>
                <c:pt idx="29">
                  <c:v>0.29511064624580796</c:v>
                </c:pt>
                <c:pt idx="30">
                  <c:v>0.28890107688242855</c:v>
                </c:pt>
                <c:pt idx="31">
                  <c:v>0.28330162824438854</c:v>
                </c:pt>
                <c:pt idx="32">
                  <c:v>0.27975351092213752</c:v>
                </c:pt>
                <c:pt idx="33">
                  <c:v>0.27618706594721854</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0.35216044146283898</c:v>
                </c:pt>
                <c:pt idx="24">
                  <c:v>0.34474967837680792</c:v>
                </c:pt>
                <c:pt idx="25">
                  <c:v>0.33848684088073877</c:v>
                </c:pt>
                <c:pt idx="26">
                  <c:v>0.33053867603253095</c:v>
                </c:pt>
                <c:pt idx="27">
                  <c:v>0.31883708142536649</c:v>
                </c:pt>
                <c:pt idx="28">
                  <c:v>0.30662177254832956</c:v>
                </c:pt>
                <c:pt idx="29">
                  <c:v>0.29336242746917174</c:v>
                </c:pt>
                <c:pt idx="30">
                  <c:v>0.28723807293704784</c:v>
                </c:pt>
                <c:pt idx="31">
                  <c:v>0.28177400013520804</c:v>
                </c:pt>
                <c:pt idx="32">
                  <c:v>0.27814547250404037</c:v>
                </c:pt>
                <c:pt idx="33">
                  <c:v>0.27470406059298813</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0.26796760921808593</c:v>
                </c:pt>
                <c:pt idx="24">
                  <c:v>0.26413662938885202</c:v>
                </c:pt>
                <c:pt idx="25">
                  <c:v>0.25900198639124872</c:v>
                </c:pt>
                <c:pt idx="26">
                  <c:v>0.25245246258994308</c:v>
                </c:pt>
                <c:pt idx="27">
                  <c:v>0.24292267394308104</c:v>
                </c:pt>
                <c:pt idx="28">
                  <c:v>0.23118103144852423</c:v>
                </c:pt>
                <c:pt idx="29">
                  <c:v>0.22291098453203495</c:v>
                </c:pt>
                <c:pt idx="30">
                  <c:v>0.21549958090282487</c:v>
                </c:pt>
                <c:pt idx="31">
                  <c:v>0.21116320273680539</c:v>
                </c:pt>
                <c:pt idx="32">
                  <c:v>0.20827788476060091</c:v>
                </c:pt>
                <c:pt idx="33">
                  <c:v>0.20363756419853529</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1.0466604167291154E-3</c:v>
                </c:pt>
                <c:pt idx="24">
                  <c:v>2.8037132795974582E-3</c:v>
                </c:pt>
                <c:pt idx="25">
                  <c:v>6.6626122140912292E-3</c:v>
                </c:pt>
                <c:pt idx="26">
                  <c:v>1.9486731535738374E-2</c:v>
                </c:pt>
                <c:pt idx="27">
                  <c:v>4.7369764293451043E-2</c:v>
                </c:pt>
                <c:pt idx="28">
                  <c:v>8.126245354275638E-2</c:v>
                </c:pt>
                <c:pt idx="29">
                  <c:v>0.11331804885289989</c:v>
                </c:pt>
                <c:pt idx="30">
                  <c:v>0.13035851958416092</c:v>
                </c:pt>
                <c:pt idx="31">
                  <c:v>0.14156193477573695</c:v>
                </c:pt>
                <c:pt idx="32">
                  <c:v>0.14896322113914595</c:v>
                </c:pt>
                <c:pt idx="33">
                  <c:v>0.15380555618355291</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6.3259616474940468E-3</c:v>
                </c:pt>
                <c:pt idx="24">
                  <c:v>2.330511635574516E-2</c:v>
                </c:pt>
                <c:pt idx="25">
                  <c:v>3.7124521088595423E-2</c:v>
                </c:pt>
                <c:pt idx="26">
                  <c:v>4.6861399961077986E-2</c:v>
                </c:pt>
                <c:pt idx="27">
                  <c:v>5.1956347168525444E-2</c:v>
                </c:pt>
                <c:pt idx="28">
                  <c:v>5.4202042612921754E-2</c:v>
                </c:pt>
                <c:pt idx="29">
                  <c:v>5.7010967194458292E-2</c:v>
                </c:pt>
                <c:pt idx="30">
                  <c:v>5.9587924920969627E-2</c:v>
                </c:pt>
                <c:pt idx="31">
                  <c:v>6.3588430981033783E-2</c:v>
                </c:pt>
                <c:pt idx="32">
                  <c:v>6.6445085901506926E-2</c:v>
                </c:pt>
                <c:pt idx="33">
                  <c:v>7.3054949950877801E-2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2.2689427131164227E-2</c:v>
                </c:pt>
                <c:pt idx="6">
                  <c:v>5.3397277420364708E-2</c:v>
                </c:pt>
                <c:pt idx="7">
                  <c:v>0.11271365981282093</c:v>
                </c:pt>
                <c:pt idx="8">
                  <c:v>0.18199330943505559</c:v>
                </c:pt>
                <c:pt idx="9">
                  <c:v>0.24461669577575562</c:v>
                </c:pt>
                <c:pt idx="10">
                  <c:v>0.31721292929066625</c:v>
                </c:pt>
                <c:pt idx="11">
                  <c:v>0.36220076508184107</c:v>
                </c:pt>
                <c:pt idx="12">
                  <c:v>0.38165837090242893</c:v>
                </c:pt>
                <c:pt idx="13">
                  <c:v>0.39849587002667342</c:v>
                </c:pt>
                <c:pt idx="14">
                  <c:v>0.40983484930250963</c:v>
                </c:pt>
                <c:pt idx="15">
                  <c:v>0.41019930132934701</c:v>
                </c:pt>
                <c:pt idx="16">
                  <c:v>0.40922129866121132</c:v>
                </c:pt>
                <c:pt idx="17">
                  <c:v>0.40645711572975696</c:v>
                </c:pt>
                <c:pt idx="18">
                  <c:v>0.39827647983639713</c:v>
                </c:pt>
                <c:pt idx="19">
                  <c:v>0.3880283529983547</c:v>
                </c:pt>
                <c:pt idx="20">
                  <c:v>0.38225318369245154</c:v>
                </c:pt>
                <c:pt idx="21">
                  <c:v>0.37713980798543767</c:v>
                </c:pt>
                <c:pt idx="22">
                  <c:v>0.35002028168365218</c:v>
                </c:pt>
                <c:pt idx="23">
                  <c:v>0.3204517109169448</c:v>
                </c:pt>
                <c:pt idx="24">
                  <c:v>0.30031669583343229</c:v>
                </c:pt>
                <c:pt idx="25">
                  <c:v>0.28461360415094666</c:v>
                </c:pt>
                <c:pt idx="26">
                  <c:v>0.27210869825981432</c:v>
                </c:pt>
                <c:pt idx="27">
                  <c:v>0.26571440111720451</c:v>
                </c:pt>
                <c:pt idx="28">
                  <c:v>0.25806067115969794</c:v>
                </c:pt>
                <c:pt idx="29">
                  <c:v>0.25278863440525723</c:v>
                </c:pt>
                <c:pt idx="30">
                  <c:v>0.24931776923060164</c:v>
                </c:pt>
                <c:pt idx="31">
                  <c:v>0.24700836838170276</c:v>
                </c:pt>
                <c:pt idx="32">
                  <c:v>0.24578208648991279</c:v>
                </c:pt>
                <c:pt idx="33">
                  <c:v>0.24449605759861345</c:v>
                </c:pt>
                <c:pt idx="34">
                  <c:v>0.2437574814075209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1.4659244680081219E-2</c:v>
                </c:pt>
                <c:pt idx="6">
                  <c:v>3.8010279475131657E-2</c:v>
                </c:pt>
                <c:pt idx="7">
                  <c:v>8.535008928088475E-2</c:v>
                </c:pt>
                <c:pt idx="8">
                  <c:v>0.16107492856207359</c:v>
                </c:pt>
                <c:pt idx="9">
                  <c:v>0.23608376021290933</c:v>
                </c:pt>
                <c:pt idx="10">
                  <c:v>0.30662256575529628</c:v>
                </c:pt>
                <c:pt idx="11">
                  <c:v>0.35252869043780033</c:v>
                </c:pt>
                <c:pt idx="12">
                  <c:v>0.37689701016394683</c:v>
                </c:pt>
                <c:pt idx="13">
                  <c:v>0.39620626129366437</c:v>
                </c:pt>
                <c:pt idx="14">
                  <c:v>0.40893910812464462</c:v>
                </c:pt>
                <c:pt idx="15">
                  <c:v>0.41001549741582155</c:v>
                </c:pt>
                <c:pt idx="16">
                  <c:v>0.40903793297543822</c:v>
                </c:pt>
                <c:pt idx="17">
                  <c:v>0.4062749886312727</c:v>
                </c:pt>
                <c:pt idx="18">
                  <c:v>0.39809801835335268</c:v>
                </c:pt>
                <c:pt idx="19">
                  <c:v>0.38625287777620554</c:v>
                </c:pt>
                <c:pt idx="20">
                  <c:v>0.3820819019986687</c:v>
                </c:pt>
                <c:pt idx="21">
                  <c:v>0.37697081751561168</c:v>
                </c:pt>
                <c:pt idx="22">
                  <c:v>0.34986344305087491</c:v>
                </c:pt>
                <c:pt idx="23">
                  <c:v>0.32006885530620466</c:v>
                </c:pt>
                <c:pt idx="24">
                  <c:v>0.29988550986643497</c:v>
                </c:pt>
                <c:pt idx="25">
                  <c:v>0.28418988281247476</c:v>
                </c:pt>
                <c:pt idx="26">
                  <c:v>0.27109929606063238</c:v>
                </c:pt>
                <c:pt idx="27">
                  <c:v>0.26472577318708435</c:v>
                </c:pt>
                <c:pt idx="28">
                  <c:v>0.25760698680732552</c:v>
                </c:pt>
                <c:pt idx="29">
                  <c:v>0.25234320838094193</c:v>
                </c:pt>
                <c:pt idx="30">
                  <c:v>0.24899843093670521</c:v>
                </c:pt>
                <c:pt idx="31">
                  <c:v>0.24656318337781008</c:v>
                </c:pt>
                <c:pt idx="32">
                  <c:v>0.24533951317130201</c:v>
                </c:pt>
                <c:pt idx="33">
                  <c:v>0.24405392291840414</c:v>
                </c:pt>
                <c:pt idx="34">
                  <c:v>0.2433155587627801</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2.7507465329213408E-4</c:v>
                </c:pt>
                <c:pt idx="16">
                  <c:v>3.2545488363185399E-3</c:v>
                </c:pt>
                <c:pt idx="17">
                  <c:v>1.1598770648196522E-2</c:v>
                </c:pt>
                <c:pt idx="18">
                  <c:v>2.8020679848084505E-2</c:v>
                </c:pt>
                <c:pt idx="19">
                  <c:v>5.7173518659483009E-2</c:v>
                </c:pt>
                <c:pt idx="20">
                  <c:v>6.9032851183887148E-2</c:v>
                </c:pt>
                <c:pt idx="21">
                  <c:v>7.3899241176621874E-2</c:v>
                </c:pt>
                <c:pt idx="22">
                  <c:v>7.9421960036614003E-2</c:v>
                </c:pt>
                <c:pt idx="23">
                  <c:v>8.9648967326231427E-2</c:v>
                </c:pt>
                <c:pt idx="24">
                  <c:v>0.10564314455719748</c:v>
                </c:pt>
                <c:pt idx="25">
                  <c:v>0.12392184458887011</c:v>
                </c:pt>
                <c:pt idx="26">
                  <c:v>0.15002774570706784</c:v>
                </c:pt>
                <c:pt idx="27">
                  <c:v>0.17616532850056907</c:v>
                </c:pt>
                <c:pt idx="28">
                  <c:v>0.19861186114880094</c:v>
                </c:pt>
                <c:pt idx="29">
                  <c:v>0.2136326235119477</c:v>
                </c:pt>
                <c:pt idx="30">
                  <c:v>0.22283365957151119</c:v>
                </c:pt>
                <c:pt idx="31">
                  <c:v>0.22726747567654654</c:v>
                </c:pt>
                <c:pt idx="32">
                  <c:v>0.2313476670997418</c:v>
                </c:pt>
                <c:pt idx="33">
                  <c:v>0.23238712867114614</c:v>
                </c:pt>
                <c:pt idx="34">
                  <c:v>0.23313757654962602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1.5091291365289146E-3</c:v>
                </c:pt>
                <c:pt idx="28">
                  <c:v>6.2986903646180294E-3</c:v>
                </c:pt>
                <c:pt idx="29">
                  <c:v>1.197079257469055E-2</c:v>
                </c:pt>
                <c:pt idx="30">
                  <c:v>1.613079643371388E-2</c:v>
                </c:pt>
                <c:pt idx="31">
                  <c:v>1.9292105166084993E-2</c:v>
                </c:pt>
                <c:pt idx="32">
                  <c:v>2.1428601406890499E-2</c:v>
                </c:pt>
                <c:pt idx="33">
                  <c:v>2.3035193854289766E-2</c:v>
                </c:pt>
                <c:pt idx="34">
                  <c:v>2.4422662061035501E-2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8.577333576761621E-7</c:v>
                </c:pt>
                <c:pt idx="21">
                  <c:v>5.3621646302273278E-3</c:v>
                </c:pt>
                <c:pt idx="22">
                  <c:v>5.4067537258298784E-2</c:v>
                </c:pt>
                <c:pt idx="23">
                  <c:v>0.10505526088733197</c:v>
                </c:pt>
                <c:pt idx="24">
                  <c:v>0.12994812477972953</c:v>
                </c:pt>
                <c:pt idx="25">
                  <c:v>0.14306820293933561</c:v>
                </c:pt>
                <c:pt idx="26">
                  <c:v>0.14946020788145811</c:v>
                </c:pt>
                <c:pt idx="27">
                  <c:v>0.15840800100485333</c:v>
                </c:pt>
                <c:pt idx="28">
                  <c:v>0.16396827058907715</c:v>
                </c:pt>
                <c:pt idx="29">
                  <c:v>0.16754038020641551</c:v>
                </c:pt>
                <c:pt idx="30">
                  <c:v>0.17013932878504257</c:v>
                </c:pt>
                <c:pt idx="31">
                  <c:v>0.17280981736350959</c:v>
                </c:pt>
                <c:pt idx="32">
                  <c:v>0.17779960988809776</c:v>
                </c:pt>
                <c:pt idx="33">
                  <c:v>0.18335120624813289</c:v>
                </c:pt>
                <c:pt idx="34">
                  <c:v>0.18708872023002915</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1.3548204837509868E-2</c:v>
                </c:pt>
                <c:pt idx="7">
                  <c:v>3.3000616875200707E-2</c:v>
                </c:pt>
                <c:pt idx="8">
                  <c:v>6.4734246810948193E-2</c:v>
                </c:pt>
                <c:pt idx="9">
                  <c:v>8.0318626108674102E-2</c:v>
                </c:pt>
                <c:pt idx="10">
                  <c:v>0.11254121325525032</c:v>
                </c:pt>
                <c:pt idx="11">
                  <c:v>0.14203956480112659</c:v>
                </c:pt>
                <c:pt idx="12">
                  <c:v>0.16263261722039005</c:v>
                </c:pt>
                <c:pt idx="13">
                  <c:v>0.17362567863661998</c:v>
                </c:pt>
                <c:pt idx="14">
                  <c:v>0.17948950145925952</c:v>
                </c:pt>
                <c:pt idx="15">
                  <c:v>0.18207135117499526</c:v>
                </c:pt>
                <c:pt idx="16">
                  <c:v>0.18445192603885649</c:v>
                </c:pt>
                <c:pt idx="17">
                  <c:v>0.18276302446064963</c:v>
                </c:pt>
                <c:pt idx="18">
                  <c:v>0.18156861289683562</c:v>
                </c:pt>
                <c:pt idx="19">
                  <c:v>0.18028855567034402</c:v>
                </c:pt>
                <c:pt idx="20">
                  <c:v>0.18492165049010936</c:v>
                </c:pt>
                <c:pt idx="21">
                  <c:v>0.18349576337418222</c:v>
                </c:pt>
                <c:pt idx="22">
                  <c:v>0.18345907555698016</c:v>
                </c:pt>
                <c:pt idx="23">
                  <c:v>0.18251599859883411</c:v>
                </c:pt>
                <c:pt idx="24">
                  <c:v>0.18273543014145194</c:v>
                </c:pt>
                <c:pt idx="25">
                  <c:v>0.18003842565869962</c:v>
                </c:pt>
                <c:pt idx="26">
                  <c:v>0.17462841838432813</c:v>
                </c:pt>
                <c:pt idx="27">
                  <c:v>0.16736514909923389</c:v>
                </c:pt>
                <c:pt idx="28">
                  <c:v>0.15933407651758474</c:v>
                </c:pt>
                <c:pt idx="29">
                  <c:v>0.15061393920137089</c:v>
                </c:pt>
                <c:pt idx="30">
                  <c:v>0.14414860450564132</c:v>
                </c:pt>
                <c:pt idx="31">
                  <c:v>0.13960203775414198</c:v>
                </c:pt>
                <c:pt idx="32">
                  <c:v>0.13773989942934969</c:v>
                </c:pt>
                <c:pt idx="33">
                  <c:v>0.13586153322162692</c:v>
                </c:pt>
                <c:pt idx="34">
                  <c:v>0.13502845763498209</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1.5430752332382513E-2</c:v>
                </c:pt>
                <c:pt idx="7">
                  <c:v>3.5967308201413334E-2</c:v>
                </c:pt>
                <c:pt idx="8">
                  <c:v>6.9841057419440175E-2</c:v>
                </c:pt>
                <c:pt idx="9">
                  <c:v>0.11544990900057511</c:v>
                </c:pt>
                <c:pt idx="10">
                  <c:v>0.18292948590757202</c:v>
                </c:pt>
                <c:pt idx="11">
                  <c:v>0.22125374933069747</c:v>
                </c:pt>
                <c:pt idx="12">
                  <c:v>0.23722907468204091</c:v>
                </c:pt>
                <c:pt idx="13">
                  <c:v>0.23766204169937366</c:v>
                </c:pt>
                <c:pt idx="14">
                  <c:v>0.24363204203886124</c:v>
                </c:pt>
                <c:pt idx="15">
                  <c:v>0.2409736311879383</c:v>
                </c:pt>
                <c:pt idx="16">
                  <c:v>0.24872013988056021</c:v>
                </c:pt>
                <c:pt idx="17">
                  <c:v>0.24711209366395565</c:v>
                </c:pt>
                <c:pt idx="18">
                  <c:v>0.24591190740803776</c:v>
                </c:pt>
                <c:pt idx="19">
                  <c:v>0.24304592883686488</c:v>
                </c:pt>
                <c:pt idx="20">
                  <c:v>0.24163477540261191</c:v>
                </c:pt>
                <c:pt idx="21">
                  <c:v>0.24260188034627606</c:v>
                </c:pt>
                <c:pt idx="22">
                  <c:v>0.24021018791018117</c:v>
                </c:pt>
                <c:pt idx="23">
                  <c:v>0.24199098996331908</c:v>
                </c:pt>
                <c:pt idx="24">
                  <c:v>0.24651381800294309</c:v>
                </c:pt>
                <c:pt idx="25">
                  <c:v>0.24434218119884793</c:v>
                </c:pt>
                <c:pt idx="26">
                  <c:v>0.23875179766179538</c:v>
                </c:pt>
                <c:pt idx="27">
                  <c:v>0.22942734880488247</c:v>
                </c:pt>
                <c:pt idx="28">
                  <c:v>0.2175565787457574</c:v>
                </c:pt>
                <c:pt idx="29">
                  <c:v>0.20495745537132187</c:v>
                </c:pt>
                <c:pt idx="30">
                  <c:v>0.19487286900980139</c:v>
                </c:pt>
                <c:pt idx="31">
                  <c:v>0.18421810791955118</c:v>
                </c:pt>
                <c:pt idx="32">
                  <c:v>0.18150087770597376</c:v>
                </c:pt>
                <c:pt idx="33">
                  <c:v>0.17651764786695601</c:v>
                </c:pt>
                <c:pt idx="34">
                  <c:v>0.17535191243931769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2.2413957705115458E-3</c:v>
                </c:pt>
                <c:pt idx="7">
                  <c:v>7.2268994248558364E-3</c:v>
                </c:pt>
                <c:pt idx="8">
                  <c:v>2.0351503419907095E-2</c:v>
                </c:pt>
                <c:pt idx="9">
                  <c:v>4.5850430534300483E-2</c:v>
                </c:pt>
                <c:pt idx="10">
                  <c:v>7.3738962347107473E-2</c:v>
                </c:pt>
                <c:pt idx="11">
                  <c:v>9.7666054390027554E-2</c:v>
                </c:pt>
                <c:pt idx="12">
                  <c:v>0.11405290289639924</c:v>
                </c:pt>
                <c:pt idx="13">
                  <c:v>0.12905068336533532</c:v>
                </c:pt>
                <c:pt idx="14">
                  <c:v>0.13800566195519207</c:v>
                </c:pt>
                <c:pt idx="15">
                  <c:v>0.13877916748278663</c:v>
                </c:pt>
                <c:pt idx="16">
                  <c:v>0.14052370916526874</c:v>
                </c:pt>
                <c:pt idx="17">
                  <c:v>0.14099083158805883</c:v>
                </c:pt>
                <c:pt idx="18">
                  <c:v>0.13961826618826895</c:v>
                </c:pt>
                <c:pt idx="19">
                  <c:v>0.13851428752388323</c:v>
                </c:pt>
                <c:pt idx="20">
                  <c:v>0.13434986484987727</c:v>
                </c:pt>
                <c:pt idx="21">
                  <c:v>0.13458475907146628</c:v>
                </c:pt>
                <c:pt idx="22">
                  <c:v>0.13456053701399623</c:v>
                </c:pt>
                <c:pt idx="23">
                  <c:v>0.13546968423254746</c:v>
                </c:pt>
                <c:pt idx="24">
                  <c:v>0.13433363643003399</c:v>
                </c:pt>
                <c:pt idx="25">
                  <c:v>0.1319790772672027</c:v>
                </c:pt>
                <c:pt idx="26">
                  <c:v>0.13016153474635983</c:v>
                </c:pt>
                <c:pt idx="27">
                  <c:v>0.12454915392517844</c:v>
                </c:pt>
                <c:pt idx="28">
                  <c:v>0.11648303305867477</c:v>
                </c:pt>
                <c:pt idx="29">
                  <c:v>0.11098306832024024</c:v>
                </c:pt>
                <c:pt idx="30">
                  <c:v>0.10724822145679017</c:v>
                </c:pt>
                <c:pt idx="31">
                  <c:v>0.10360812371265507</c:v>
                </c:pt>
                <c:pt idx="32">
                  <c:v>0.1024099975675314</c:v>
                </c:pt>
                <c:pt idx="33">
                  <c:v>0.10104862806625081</c:v>
                </c:pt>
                <c:pt idx="34">
                  <c:v>0.1004895189687009</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3.8563958182376492E-7</c:v>
                </c:pt>
                <c:pt idx="10">
                  <c:v>8.7319199893238425E-6</c:v>
                </c:pt>
                <c:pt idx="11">
                  <c:v>1.1836466124819843E-4</c:v>
                </c:pt>
                <c:pt idx="12">
                  <c:v>6.2971563152778697E-4</c:v>
                </c:pt>
                <c:pt idx="13">
                  <c:v>2.4209340594226595E-3</c:v>
                </c:pt>
                <c:pt idx="14">
                  <c:v>5.3654000064586914E-3</c:v>
                </c:pt>
                <c:pt idx="15">
                  <c:v>7.4203589690600988E-3</c:v>
                </c:pt>
                <c:pt idx="16">
                  <c:v>1.0030052299768673E-2</c:v>
                </c:pt>
                <c:pt idx="17">
                  <c:v>1.3323271735061442E-2</c:v>
                </c:pt>
                <c:pt idx="18">
                  <c:v>1.7214298642640395E-2</c:v>
                </c:pt>
                <c:pt idx="19">
                  <c:v>2.24926717894499E-2</c:v>
                </c:pt>
                <c:pt idx="20">
                  <c:v>2.4491622396785366E-2</c:v>
                </c:pt>
                <c:pt idx="21">
                  <c:v>2.4681485640781389E-2</c:v>
                </c:pt>
                <c:pt idx="22">
                  <c:v>2.7026526466993626E-2</c:v>
                </c:pt>
                <c:pt idx="23">
                  <c:v>2.9467363512759935E-2</c:v>
                </c:pt>
                <c:pt idx="24">
                  <c:v>3.2755854140226477E-2</c:v>
                </c:pt>
                <c:pt idx="25">
                  <c:v>3.816356265691509E-2</c:v>
                </c:pt>
                <c:pt idx="26">
                  <c:v>4.615925476516855E-2</c:v>
                </c:pt>
                <c:pt idx="27">
                  <c:v>5.7417739577950169E-2</c:v>
                </c:pt>
                <c:pt idx="28">
                  <c:v>7.0649536528436169E-2</c:v>
                </c:pt>
                <c:pt idx="29">
                  <c:v>8.4305082585397012E-2</c:v>
                </c:pt>
                <c:pt idx="30">
                  <c:v>9.0870642276486266E-2</c:v>
                </c:pt>
                <c:pt idx="31">
                  <c:v>9.4740731178091092E-2</c:v>
                </c:pt>
                <c:pt idx="32">
                  <c:v>9.621178256709656E-2</c:v>
                </c:pt>
                <c:pt idx="33">
                  <c:v>9.72932439049847E-2</c:v>
                </c:pt>
                <c:pt idx="34">
                  <c:v>9.6693710460938762E-2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1.7221436243822235E-5</c:v>
                </c:pt>
                <c:pt idx="20">
                  <c:v>8.2166488556902805E-5</c:v>
                </c:pt>
                <c:pt idx="21">
                  <c:v>1.2237235642713934E-4</c:v>
                </c:pt>
                <c:pt idx="22">
                  <c:v>4.0171653650754264E-4</c:v>
                </c:pt>
                <c:pt idx="23">
                  <c:v>1.0806153092264167E-3</c:v>
                </c:pt>
                <c:pt idx="24">
                  <c:v>3.0428877946221972E-3</c:v>
                </c:pt>
                <c:pt idx="25">
                  <c:v>7.0336617243993019E-3</c:v>
                </c:pt>
                <c:pt idx="26">
                  <c:v>1.4526013998829069E-2</c:v>
                </c:pt>
                <c:pt idx="27">
                  <c:v>2.5467643961492786E-2</c:v>
                </c:pt>
                <c:pt idx="28">
                  <c:v>3.772884702994117E-2</c:v>
                </c:pt>
                <c:pt idx="29">
                  <c:v>5.3367497847368453E-2</c:v>
                </c:pt>
                <c:pt idx="30">
                  <c:v>6.224147215830405E-2</c:v>
                </c:pt>
                <c:pt idx="31">
                  <c:v>6.8356141642685622E-2</c:v>
                </c:pt>
                <c:pt idx="32">
                  <c:v>7.2662584937173577E-2</c:v>
                </c:pt>
                <c:pt idx="33">
                  <c:v>7.4938313760858688E-2</c:v>
                </c:pt>
                <c:pt idx="34">
                  <c:v>7.8095767316737563E-2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39194.548539919044</c:v>
                </c:pt>
                <c:pt idx="20">
                  <c:v>39130.51198355532</c:v>
                </c:pt>
                <c:pt idx="21">
                  <c:v>39130.411882809363</c:v>
                </c:pt>
                <c:pt idx="22">
                  <c:v>39130.375057736273</c:v>
                </c:pt>
                <c:pt idx="23">
                  <c:v>39130.361510539107</c:v>
                </c:pt>
                <c:pt idx="24">
                  <c:v>39130.356526803225</c:v>
                </c:pt>
                <c:pt idx="25">
                  <c:v>39130.354693388843</c:v>
                </c:pt>
                <c:pt idx="26">
                  <c:v>39194.121798840446</c:v>
                </c:pt>
                <c:pt idx="27">
                  <c:v>39031.38887532473</c:v>
                </c:pt>
                <c:pt idx="28">
                  <c:v>39194.121798840599</c:v>
                </c:pt>
                <c:pt idx="29">
                  <c:v>39031.38887532505</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115603.47435148433</c:v>
                </c:pt>
                <c:pt idx="20">
                  <c:v>115259.49992828314</c:v>
                </c:pt>
                <c:pt idx="21">
                  <c:v>115108.6829297646</c:v>
                </c:pt>
                <c:pt idx="22">
                  <c:v>114934.64362731772</c:v>
                </c:pt>
                <c:pt idx="23">
                  <c:v>114648.65131559822</c:v>
                </c:pt>
                <c:pt idx="24">
                  <c:v>114503.6629196407</c:v>
                </c:pt>
                <c:pt idx="25">
                  <c:v>114623.08397547225</c:v>
                </c:pt>
                <c:pt idx="26">
                  <c:v>114772.78923168765</c:v>
                </c:pt>
                <c:pt idx="27">
                  <c:v>115020.1502990898</c:v>
                </c:pt>
                <c:pt idx="28">
                  <c:v>114944.92534322923</c:v>
                </c:pt>
                <c:pt idx="29">
                  <c:v>115242.95131724273</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116233.93474762749</c:v>
                </c:pt>
                <c:pt idx="20">
                  <c:v>115922.85204840635</c:v>
                </c:pt>
                <c:pt idx="21">
                  <c:v>115780.22950148571</c:v>
                </c:pt>
                <c:pt idx="22">
                  <c:v>115521.51444809551</c:v>
                </c:pt>
                <c:pt idx="23">
                  <c:v>115249.98548649713</c:v>
                </c:pt>
                <c:pt idx="24">
                  <c:v>115223.53254616749</c:v>
                </c:pt>
                <c:pt idx="25">
                  <c:v>115367.71238320629</c:v>
                </c:pt>
                <c:pt idx="26">
                  <c:v>115505.33564703359</c:v>
                </c:pt>
                <c:pt idx="27">
                  <c:v>115629.78052810077</c:v>
                </c:pt>
                <c:pt idx="28">
                  <c:v>115690.67024416402</c:v>
                </c:pt>
                <c:pt idx="29">
                  <c:v>115860.90934502326</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124887.96910378664</c:v>
                </c:pt>
                <c:pt idx="20">
                  <c:v>124521.47128514711</c:v>
                </c:pt>
                <c:pt idx="21">
                  <c:v>124399.35942767859</c:v>
                </c:pt>
                <c:pt idx="22">
                  <c:v>124184.96266868309</c:v>
                </c:pt>
                <c:pt idx="23">
                  <c:v>124021.27587058033</c:v>
                </c:pt>
                <c:pt idx="24">
                  <c:v>124189.29505987938</c:v>
                </c:pt>
                <c:pt idx="25">
                  <c:v>124331.42130172392</c:v>
                </c:pt>
                <c:pt idx="26">
                  <c:v>124744.7469234848</c:v>
                </c:pt>
                <c:pt idx="27">
                  <c:v>124886.07638546756</c:v>
                </c:pt>
                <c:pt idx="28">
                  <c:v>124968.58246824928</c:v>
                </c:pt>
                <c:pt idx="29">
                  <c:v>125036.60786111276</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222576.1336089106</c:v>
                </c:pt>
                <c:pt idx="20">
                  <c:v>216251.78362592746</c:v>
                </c:pt>
                <c:pt idx="21">
                  <c:v>198941.41102808039</c:v>
                </c:pt>
                <c:pt idx="22">
                  <c:v>166151.11660217994</c:v>
                </c:pt>
                <c:pt idx="23">
                  <c:v>143674.91636210261</c:v>
                </c:pt>
                <c:pt idx="24">
                  <c:v>133651.8378622242</c:v>
                </c:pt>
                <c:pt idx="25">
                  <c:v>128026.00893608081</c:v>
                </c:pt>
                <c:pt idx="26">
                  <c:v>125490.65565902845</c:v>
                </c:pt>
                <c:pt idx="27">
                  <c:v>124564.36089654472</c:v>
                </c:pt>
                <c:pt idx="28">
                  <c:v>123865.22450833322</c:v>
                </c:pt>
                <c:pt idx="29">
                  <c:v>123520.63629216583</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172085.07071122274</c:v>
                </c:pt>
                <c:pt idx="20">
                  <c:v>140374.21078178182</c:v>
                </c:pt>
                <c:pt idx="21">
                  <c:v>129923.53292831361</c:v>
                </c:pt>
                <c:pt idx="22">
                  <c:v>123636.26095347434</c:v>
                </c:pt>
                <c:pt idx="23">
                  <c:v>120604.29398985575</c:v>
                </c:pt>
                <c:pt idx="24">
                  <c:v>118369.91099000696</c:v>
                </c:pt>
                <c:pt idx="25">
                  <c:v>117101.98027213819</c:v>
                </c:pt>
                <c:pt idx="26">
                  <c:v>116944.73608384046</c:v>
                </c:pt>
                <c:pt idx="27">
                  <c:v>116548.05982225464</c:v>
                </c:pt>
                <c:pt idx="28">
                  <c:v>116057.56871733122</c:v>
                </c:pt>
                <c:pt idx="29">
                  <c:v>115689.20483254276</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76620.863437385153</c:v>
                </c:pt>
                <c:pt idx="2">
                  <c:v>76031.098395536697</c:v>
                </c:pt>
                <c:pt idx="3">
                  <c:v>74121.391961113579</c:v>
                </c:pt>
                <c:pt idx="4">
                  <c:v>68044.643046916332</c:v>
                </c:pt>
                <c:pt idx="5">
                  <c:v>61189.977771222664</c:v>
                </c:pt>
                <c:pt idx="6">
                  <c:v>53916.670737124266</c:v>
                </c:pt>
                <c:pt idx="7">
                  <c:v>47971.311315774925</c:v>
                </c:pt>
                <c:pt idx="8">
                  <c:v>44668.343602397465</c:v>
                </c:pt>
                <c:pt idx="9">
                  <c:v>41930.755661283816</c:v>
                </c:pt>
                <c:pt idx="10">
                  <c:v>39918.388999214163</c:v>
                </c:pt>
                <c:pt idx="11">
                  <c:v>39783.03856186178</c:v>
                </c:pt>
                <c:pt idx="12">
                  <c:v>39740.539048784653</c:v>
                </c:pt>
                <c:pt idx="13">
                  <c:v>39479.841651545546</c:v>
                </c:pt>
                <c:pt idx="14">
                  <c:v>39471.299671386834</c:v>
                </c:pt>
                <c:pt idx="15">
                  <c:v>38933.896262695984</c:v>
                </c:pt>
                <c:pt idx="16">
                  <c:v>38887.370143293316</c:v>
                </c:pt>
                <c:pt idx="17">
                  <c:v>38886.921592620085</c:v>
                </c:pt>
                <c:pt idx="18">
                  <c:v>38886.75657739157</c:v>
                </c:pt>
                <c:pt idx="19">
                  <c:v>38601.047922175028</c:v>
                </c:pt>
                <c:pt idx="20">
                  <c:v>38630.36925757159</c:v>
                </c:pt>
                <c:pt idx="21">
                  <c:v>38630.360920044433</c:v>
                </c:pt>
                <c:pt idx="22">
                  <c:v>38020.65405227321</c:v>
                </c:pt>
                <c:pt idx="23">
                  <c:v>36032.128464588495</c:v>
                </c:pt>
                <c:pt idx="24">
                  <c:v>34619.397381493123</c:v>
                </c:pt>
                <c:pt idx="25">
                  <c:v>33794.019885266105</c:v>
                </c:pt>
                <c:pt idx="26">
                  <c:v>33252.397991138001</c:v>
                </c:pt>
                <c:pt idx="27">
                  <c:v>33156.767428885665</c:v>
                </c:pt>
                <c:pt idx="28">
                  <c:v>32908.336916727349</c:v>
                </c:pt>
                <c:pt idx="29">
                  <c:v>33030.88217644806</c:v>
                </c:pt>
                <c:pt idx="30">
                  <c:v>33643.752172415581</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90406.466302409623</c:v>
                </c:pt>
                <c:pt idx="2">
                  <c:v>86210.436054982536</c:v>
                </c:pt>
                <c:pt idx="3">
                  <c:v>83870.820041188083</c:v>
                </c:pt>
                <c:pt idx="4">
                  <c:v>99005.12137621743</c:v>
                </c:pt>
                <c:pt idx="5">
                  <c:v>106058.96479508895</c:v>
                </c:pt>
                <c:pt idx="6">
                  <c:v>102973.96037661082</c:v>
                </c:pt>
                <c:pt idx="7">
                  <c:v>100983.52465718455</c:v>
                </c:pt>
                <c:pt idx="8">
                  <c:v>99840.136948018408</c:v>
                </c:pt>
                <c:pt idx="9">
                  <c:v>98088.865301016354</c:v>
                </c:pt>
                <c:pt idx="10">
                  <c:v>96826.755405070231</c:v>
                </c:pt>
                <c:pt idx="11">
                  <c:v>96767.921657390558</c:v>
                </c:pt>
                <c:pt idx="12">
                  <c:v>96457.484744788439</c:v>
                </c:pt>
                <c:pt idx="13">
                  <c:v>95829.386237882922</c:v>
                </c:pt>
                <c:pt idx="14">
                  <c:v>95034.721109858554</c:v>
                </c:pt>
                <c:pt idx="15">
                  <c:v>93281.034432236673</c:v>
                </c:pt>
                <c:pt idx="16">
                  <c:v>92760.861989135243</c:v>
                </c:pt>
                <c:pt idx="17">
                  <c:v>92331.70353201167</c:v>
                </c:pt>
                <c:pt idx="18">
                  <c:v>90544.458728707934</c:v>
                </c:pt>
                <c:pt idx="19">
                  <c:v>89996.67426821409</c:v>
                </c:pt>
                <c:pt idx="20">
                  <c:v>90154.180745260615</c:v>
                </c:pt>
                <c:pt idx="21">
                  <c:v>90927.906134286415</c:v>
                </c:pt>
                <c:pt idx="22">
                  <c:v>91624.50075419253</c:v>
                </c:pt>
                <c:pt idx="23">
                  <c:v>91635.978893264735</c:v>
                </c:pt>
                <c:pt idx="24">
                  <c:v>92399.475558789229</c:v>
                </c:pt>
                <c:pt idx="25">
                  <c:v>93151.748081072132</c:v>
                </c:pt>
                <c:pt idx="26">
                  <c:v>93621.749836408402</c:v>
                </c:pt>
                <c:pt idx="27">
                  <c:v>93962.061661542</c:v>
                </c:pt>
                <c:pt idx="28">
                  <c:v>93896.422762903021</c:v>
                </c:pt>
                <c:pt idx="29">
                  <c:v>93919.624930103833</c:v>
                </c:pt>
                <c:pt idx="30">
                  <c:v>93933.710119208816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83873.511212576617</c:v>
                </c:pt>
                <c:pt idx="2">
                  <c:v>90517.858700642551</c:v>
                </c:pt>
                <c:pt idx="3">
                  <c:v>103272.78702762608</c:v>
                </c:pt>
                <c:pt idx="4">
                  <c:v>107603.30447134459</c:v>
                </c:pt>
                <c:pt idx="5">
                  <c:v>107482.82786705319</c:v>
                </c:pt>
                <c:pt idx="6">
                  <c:v>104567.77027675069</c:v>
                </c:pt>
                <c:pt idx="7">
                  <c:v>102000.24945499812</c:v>
                </c:pt>
                <c:pt idx="8">
                  <c:v>100195.70052940452</c:v>
                </c:pt>
                <c:pt idx="9">
                  <c:v>98293.234324063291</c:v>
                </c:pt>
                <c:pt idx="10">
                  <c:v>96973.89272315742</c:v>
                </c:pt>
                <c:pt idx="11">
                  <c:v>96767.921657390529</c:v>
                </c:pt>
                <c:pt idx="12">
                  <c:v>96457.48474478838</c:v>
                </c:pt>
                <c:pt idx="13">
                  <c:v>95829.386237882907</c:v>
                </c:pt>
                <c:pt idx="14">
                  <c:v>95034.721109858554</c:v>
                </c:pt>
                <c:pt idx="15">
                  <c:v>93517.526663727796</c:v>
                </c:pt>
                <c:pt idx="16">
                  <c:v>92760.861989135214</c:v>
                </c:pt>
                <c:pt idx="17">
                  <c:v>92331.70353201167</c:v>
                </c:pt>
                <c:pt idx="18">
                  <c:v>90544.458728707978</c:v>
                </c:pt>
                <c:pt idx="19">
                  <c:v>89976.710569937874</c:v>
                </c:pt>
                <c:pt idx="20">
                  <c:v>90319.268363815878</c:v>
                </c:pt>
                <c:pt idx="21">
                  <c:v>91105.695354531097</c:v>
                </c:pt>
                <c:pt idx="22">
                  <c:v>91631.44419561114</c:v>
                </c:pt>
                <c:pt idx="23">
                  <c:v>91642.985474855901</c:v>
                </c:pt>
                <c:pt idx="24">
                  <c:v>92613.712843971181</c:v>
                </c:pt>
                <c:pt idx="25">
                  <c:v>93370.917757796924</c:v>
                </c:pt>
                <c:pt idx="26">
                  <c:v>93774.81101893849</c:v>
                </c:pt>
                <c:pt idx="27">
                  <c:v>93945.283121445362</c:v>
                </c:pt>
                <c:pt idx="28">
                  <c:v>93879.599043139388</c:v>
                </c:pt>
                <c:pt idx="29">
                  <c:v>93902.728858230243</c:v>
                </c:pt>
                <c:pt idx="30">
                  <c:v>93916.770896121161</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220570.06440601934</c:v>
                </c:pt>
                <c:pt idx="12">
                  <c:v>214383.41559426425</c:v>
                </c:pt>
                <c:pt idx="13">
                  <c:v>196741.19511613701</c:v>
                </c:pt>
                <c:pt idx="14">
                  <c:v>174229.76807434778</c:v>
                </c:pt>
                <c:pt idx="15">
                  <c:v>154307.7277285443</c:v>
                </c:pt>
                <c:pt idx="16">
                  <c:v>148535.23851830629</c:v>
                </c:pt>
                <c:pt idx="17">
                  <c:v>145197.77100172092</c:v>
                </c:pt>
                <c:pt idx="18">
                  <c:v>138701.7041446089</c:v>
                </c:pt>
                <c:pt idx="19">
                  <c:v>132731.25426965533</c:v>
                </c:pt>
                <c:pt idx="20">
                  <c:v>125759.23618121503</c:v>
                </c:pt>
                <c:pt idx="21">
                  <c:v>119213.00189448879</c:v>
                </c:pt>
                <c:pt idx="22">
                  <c:v>111428.39770002534</c:v>
                </c:pt>
                <c:pt idx="23">
                  <c:v>103893.5461960269</c:v>
                </c:pt>
                <c:pt idx="24">
                  <c:v>97793.0356795056</c:v>
                </c:pt>
                <c:pt idx="25">
                  <c:v>93237.763951144996</c:v>
                </c:pt>
                <c:pt idx="26">
                  <c:v>90836.289910981897</c:v>
                </c:pt>
                <c:pt idx="27">
                  <c:v>89383.435061565353</c:v>
                </c:pt>
                <c:pt idx="28">
                  <c:v>88438.261001428953</c:v>
                </c:pt>
                <c:pt idx="29">
                  <c:v>88163.29614755261</c:v>
                </c:pt>
                <c:pt idx="30">
                  <c:v>87710.906452858122</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51373.115367024613</c:v>
                </c:pt>
                <c:pt idx="24">
                  <c:v>50213.676846359529</c:v>
                </c:pt>
                <c:pt idx="25">
                  <c:v>47954.076717696844</c:v>
                </c:pt>
                <c:pt idx="26">
                  <c:v>45825.230422160821</c:v>
                </c:pt>
                <c:pt idx="27">
                  <c:v>44623.140716812435</c:v>
                </c:pt>
                <c:pt idx="28">
                  <c:v>43798.426998552612</c:v>
                </c:pt>
                <c:pt idx="29">
                  <c:v>43509.48176956168</c:v>
                </c:pt>
                <c:pt idx="30">
                  <c:v>43000.1845139375</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162880.43816966491</c:v>
                </c:pt>
                <c:pt idx="17">
                  <c:v>189622.93372097309</c:v>
                </c:pt>
                <c:pt idx="18">
                  <c:v>134389.68176269857</c:v>
                </c:pt>
                <c:pt idx="19">
                  <c:v>113262.15086273616</c:v>
                </c:pt>
                <c:pt idx="20">
                  <c:v>104175.5878579227</c:v>
                </c:pt>
                <c:pt idx="21">
                  <c:v>98672.964942012186</c:v>
                </c:pt>
                <c:pt idx="22">
                  <c:v>94736.46146637098</c:v>
                </c:pt>
                <c:pt idx="23">
                  <c:v>89403.489285866221</c:v>
                </c:pt>
                <c:pt idx="24">
                  <c:v>85228.79758610719</c:v>
                </c:pt>
                <c:pt idx="25">
                  <c:v>82849.22980833023</c:v>
                </c:pt>
                <c:pt idx="26">
                  <c:v>81720.681273827679</c:v>
                </c:pt>
                <c:pt idx="27">
                  <c:v>80918.609296833572</c:v>
                </c:pt>
                <c:pt idx="28">
                  <c:v>78186.092653529995</c:v>
                </c:pt>
                <c:pt idx="29">
                  <c:v>75709.846707447185</c:v>
                </c:pt>
                <c:pt idx="30">
                  <c:v>73414.328507066253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27132.85202496927</c:v>
                </c:pt>
                <c:pt idx="16">
                  <c:v>26926.171831237472</c:v>
                </c:pt>
                <c:pt idx="17">
                  <c:v>26331.733230754853</c:v>
                </c:pt>
                <c:pt idx="18">
                  <c:v>24549.999831142544</c:v>
                </c:pt>
                <c:pt idx="19">
                  <c:v>22534.796772197842</c:v>
                </c:pt>
                <c:pt idx="20">
                  <c:v>20525.749673178667</c:v>
                </c:pt>
                <c:pt idx="21">
                  <c:v>19347.444930474587</c:v>
                </c:pt>
                <c:pt idx="22">
                  <c:v>18605.62967200093</c:v>
                </c:pt>
                <c:pt idx="23">
                  <c:v>18083.032768586985</c:v>
                </c:pt>
                <c:pt idx="24">
                  <c:v>18016.963893958713</c:v>
                </c:pt>
                <c:pt idx="25">
                  <c:v>17780.86449127235</c:v>
                </c:pt>
                <c:pt idx="26">
                  <c:v>17775.027997616864</c:v>
                </c:pt>
                <c:pt idx="27">
                  <c:v>17771.873733683882</c:v>
                </c:pt>
                <c:pt idx="28">
                  <c:v>17770.712816969746</c:v>
                </c:pt>
                <c:pt idx="29">
                  <c:v>17742.505577216842</c:v>
                </c:pt>
                <c:pt idx="30">
                  <c:v>17742.347795302878</c:v>
                </c:pt>
                <c:pt idx="31">
                  <c:v>17745.916924222911</c:v>
                </c:pt>
                <c:pt idx="32">
                  <c:v>17664.441162299707</c:v>
                </c:pt>
                <c:pt idx="33">
                  <c:v>17515.321634803084</c:v>
                </c:pt>
                <c:pt idx="34">
                  <c:v>17454.043068588428</c:v>
                </c:pt>
                <c:pt idx="35">
                  <c:v>17389.134837541136</c:v>
                </c:pt>
                <c:pt idx="36">
                  <c:v>17389.134421167142</c:v>
                </c:pt>
                <c:pt idx="37">
                  <c:v>17458.10707237279</c:v>
                </c:pt>
                <c:pt idx="38">
                  <c:v>17389.134211641602</c:v>
                </c:pt>
                <c:pt idx="39">
                  <c:v>17515.31686540947</c:v>
                </c:pt>
                <c:pt idx="40">
                  <c:v>17664.428546122595</c:v>
                </c:pt>
                <c:pt idx="41">
                  <c:v>17664.428546122592</c:v>
                </c:pt>
                <c:pt idx="42">
                  <c:v>17745.883145941185</c:v>
                </c:pt>
                <c:pt idx="43">
                  <c:v>17745.883145941196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29434.7725328425</c:v>
                </c:pt>
                <c:pt idx="15">
                  <c:v>28926.379490339499</c:v>
                </c:pt>
                <c:pt idx="16">
                  <c:v>29213.323388741836</c:v>
                </c:pt>
                <c:pt idx="17">
                  <c:v>36763.929538286866</c:v>
                </c:pt>
                <c:pt idx="18">
                  <c:v>39738.82589248936</c:v>
                </c:pt>
                <c:pt idx="19">
                  <c:v>44438.6128125178</c:v>
                </c:pt>
                <c:pt idx="20">
                  <c:v>44685.704320904981</c:v>
                </c:pt>
                <c:pt idx="21">
                  <c:v>45669.229062593375</c:v>
                </c:pt>
                <c:pt idx="22">
                  <c:v>45446.345157683572</c:v>
                </c:pt>
                <c:pt idx="23">
                  <c:v>45059.798476324038</c:v>
                </c:pt>
                <c:pt idx="24">
                  <c:v>44624.620136469814</c:v>
                </c:pt>
                <c:pt idx="25">
                  <c:v>44428.872052422688</c:v>
                </c:pt>
                <c:pt idx="26">
                  <c:v>44266.030736654677</c:v>
                </c:pt>
                <c:pt idx="27">
                  <c:v>44123.459720317216</c:v>
                </c:pt>
                <c:pt idx="28">
                  <c:v>43604.98987093944</c:v>
                </c:pt>
                <c:pt idx="29">
                  <c:v>43759.937246264803</c:v>
                </c:pt>
                <c:pt idx="30">
                  <c:v>43493.071537410658</c:v>
                </c:pt>
                <c:pt idx="31">
                  <c:v>43339.669041939385</c:v>
                </c:pt>
                <c:pt idx="32">
                  <c:v>43066.018539560013</c:v>
                </c:pt>
                <c:pt idx="33">
                  <c:v>42870.990179002882</c:v>
                </c:pt>
                <c:pt idx="34">
                  <c:v>42738.171114537618</c:v>
                </c:pt>
                <c:pt idx="35">
                  <c:v>42655.672554303943</c:v>
                </c:pt>
                <c:pt idx="36">
                  <c:v>42814.081981264782</c:v>
                </c:pt>
                <c:pt idx="37">
                  <c:v>43457.5294538163</c:v>
                </c:pt>
                <c:pt idx="38">
                  <c:v>43848.069796028482</c:v>
                </c:pt>
                <c:pt idx="39">
                  <c:v>44413.440194891802</c:v>
                </c:pt>
                <c:pt idx="40">
                  <c:v>44555.038915338111</c:v>
                </c:pt>
                <c:pt idx="41">
                  <c:v>44861.271541999842</c:v>
                </c:pt>
                <c:pt idx="42">
                  <c:v>44927.919727005159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31381.993604457821</c:v>
                </c:pt>
                <c:pt idx="7">
                  <c:v>31466.067066902237</c:v>
                </c:pt>
                <c:pt idx="8">
                  <c:v>33308.748780323651</c:v>
                </c:pt>
                <c:pt idx="9">
                  <c:v>39627.848935338392</c:v>
                </c:pt>
                <c:pt idx="10">
                  <c:v>39204.008735653741</c:v>
                </c:pt>
                <c:pt idx="11">
                  <c:v>39883.534850189673</c:v>
                </c:pt>
                <c:pt idx="12">
                  <c:v>40246.277554161468</c:v>
                </c:pt>
                <c:pt idx="13">
                  <c:v>40838.333185204065</c:v>
                </c:pt>
                <c:pt idx="14">
                  <c:v>40670.787195227567</c:v>
                </c:pt>
                <c:pt idx="15">
                  <c:v>40714.554789486996</c:v>
                </c:pt>
                <c:pt idx="16">
                  <c:v>40019.129746666462</c:v>
                </c:pt>
                <c:pt idx="17">
                  <c:v>39818.331143451353</c:v>
                </c:pt>
                <c:pt idx="18">
                  <c:v>39697.375230420621</c:v>
                </c:pt>
                <c:pt idx="19">
                  <c:v>39568.059876324638</c:v>
                </c:pt>
                <c:pt idx="20">
                  <c:v>39675.086428262817</c:v>
                </c:pt>
                <c:pt idx="21">
                  <c:v>39606.219577465527</c:v>
                </c:pt>
                <c:pt idx="22">
                  <c:v>39510.740926626211</c:v>
                </c:pt>
                <c:pt idx="23">
                  <c:v>39230.974882989431</c:v>
                </c:pt>
                <c:pt idx="24">
                  <c:v>38713.384341891506</c:v>
                </c:pt>
                <c:pt idx="25">
                  <c:v>38570.491574686355</c:v>
                </c:pt>
                <c:pt idx="26">
                  <c:v>38387.491467594686</c:v>
                </c:pt>
                <c:pt idx="27">
                  <c:v>38257.259618978809</c:v>
                </c:pt>
                <c:pt idx="28">
                  <c:v>38282.36721138288</c:v>
                </c:pt>
                <c:pt idx="29">
                  <c:v>38760.010192878144</c:v>
                </c:pt>
                <c:pt idx="30">
                  <c:v>39073.075356311259</c:v>
                </c:pt>
                <c:pt idx="31">
                  <c:v>39765.637645477371</c:v>
                </c:pt>
                <c:pt idx="32">
                  <c:v>39865.586722836735</c:v>
                </c:pt>
                <c:pt idx="33">
                  <c:v>40275.330170607172</c:v>
                </c:pt>
                <c:pt idx="34">
                  <c:v>40319.973793332516</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88306.10737237276</c:v>
                </c:pt>
                <c:pt idx="7">
                  <c:v>80574.363543333326</c:v>
                </c:pt>
                <c:pt idx="8">
                  <c:v>73635.769308037052</c:v>
                </c:pt>
                <c:pt idx="9">
                  <c:v>66155.097657968887</c:v>
                </c:pt>
                <c:pt idx="10">
                  <c:v>61819.610735947004</c:v>
                </c:pt>
                <c:pt idx="11">
                  <c:v>58063.582940865534</c:v>
                </c:pt>
                <c:pt idx="12">
                  <c:v>55547.203524898163</c:v>
                </c:pt>
                <c:pt idx="13">
                  <c:v>52251.130670337785</c:v>
                </c:pt>
                <c:pt idx="14">
                  <c:v>50505.999174751771</c:v>
                </c:pt>
                <c:pt idx="15">
                  <c:v>50255.389088352858</c:v>
                </c:pt>
                <c:pt idx="16">
                  <c:v>49364.443952616537</c:v>
                </c:pt>
                <c:pt idx="17">
                  <c:v>49268.884997054382</c:v>
                </c:pt>
                <c:pt idx="18">
                  <c:v>49068.304888914281</c:v>
                </c:pt>
                <c:pt idx="19">
                  <c:v>48577.667359701882</c:v>
                </c:pt>
                <c:pt idx="20">
                  <c:v>48895.892425083424</c:v>
                </c:pt>
                <c:pt idx="21">
                  <c:v>48812.816452466293</c:v>
                </c:pt>
                <c:pt idx="22">
                  <c:v>48830.92442060406</c:v>
                </c:pt>
                <c:pt idx="23">
                  <c:v>48449.340972093676</c:v>
                </c:pt>
                <c:pt idx="24">
                  <c:v>48135.522189160489</c:v>
                </c:pt>
                <c:pt idx="25">
                  <c:v>47931.418338581083</c:v>
                </c:pt>
                <c:pt idx="26">
                  <c:v>47240.178842441579</c:v>
                </c:pt>
                <c:pt idx="27">
                  <c:v>47232.82092653383</c:v>
                </c:pt>
                <c:pt idx="28">
                  <c:v>48110.619883646264</c:v>
                </c:pt>
                <c:pt idx="29">
                  <c:v>48885.93462169831</c:v>
                </c:pt>
                <c:pt idx="30">
                  <c:v>49411.19377320174</c:v>
                </c:pt>
                <c:pt idx="31">
                  <c:v>50396.182863282789</c:v>
                </c:pt>
                <c:pt idx="32">
                  <c:v>50567.855724305817</c:v>
                </c:pt>
                <c:pt idx="33">
                  <c:v>50837.413044411507</c:v>
                </c:pt>
                <c:pt idx="34">
                  <c:v>50926.524185294787</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224999.99999999994</c:v>
                </c:pt>
                <c:pt idx="14">
                  <c:v>212952.88053169561</c:v>
                </c:pt>
                <c:pt idx="15">
                  <c:v>184779.28491526231</c:v>
                </c:pt>
                <c:pt idx="16">
                  <c:v>166812.78714065504</c:v>
                </c:pt>
                <c:pt idx="17">
                  <c:v>153118.28053850814</c:v>
                </c:pt>
                <c:pt idx="18">
                  <c:v>145142.76136131526</c:v>
                </c:pt>
                <c:pt idx="19">
                  <c:v>139134.3812261</c:v>
                </c:pt>
                <c:pt idx="20">
                  <c:v>132056.82395823122</c:v>
                </c:pt>
                <c:pt idx="21">
                  <c:v>123160.30176722485</c:v>
                </c:pt>
                <c:pt idx="22">
                  <c:v>114422.80581314054</c:v>
                </c:pt>
                <c:pt idx="23">
                  <c:v>105514.10982489436</c:v>
                </c:pt>
                <c:pt idx="24">
                  <c:v>102340.2814472733</c:v>
                </c:pt>
                <c:pt idx="25">
                  <c:v>101990.05722251191</c:v>
                </c:pt>
                <c:pt idx="26">
                  <c:v>98335.834452378753</c:v>
                </c:pt>
                <c:pt idx="27">
                  <c:v>94881.612267653094</c:v>
                </c:pt>
                <c:pt idx="28">
                  <c:v>89950.979889188937</c:v>
                </c:pt>
                <c:pt idx="29">
                  <c:v>83113.296891711259</c:v>
                </c:pt>
                <c:pt idx="30">
                  <c:v>73964.476149429393</c:v>
                </c:pt>
                <c:pt idx="31">
                  <c:v>63428.17189599439</c:v>
                </c:pt>
                <c:pt idx="32">
                  <c:v>55303.229341943435</c:v>
                </c:pt>
                <c:pt idx="33">
                  <c:v>49861.978185742671</c:v>
                </c:pt>
                <c:pt idx="34">
                  <c:v>48306.652370890122</c:v>
                </c:pt>
                <c:pt idx="35">
                  <c:v>47159.858038395221</c:v>
                </c:pt>
                <c:pt idx="36">
                  <c:v>47128.323027966399</c:v>
                </c:pt>
                <c:pt idx="37">
                  <c:v>46924.816016713186</c:v>
                </c:pt>
                <c:pt idx="38">
                  <c:v>47006.325539936915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71616.08895539795</c:v>
                </c:pt>
                <c:pt idx="20">
                  <c:v>71616.08895539795</c:v>
                </c:pt>
                <c:pt idx="21">
                  <c:v>71616.088955397965</c:v>
                </c:pt>
                <c:pt idx="22">
                  <c:v>71590.301812006903</c:v>
                </c:pt>
                <c:pt idx="23">
                  <c:v>70609.929009691215</c:v>
                </c:pt>
                <c:pt idx="24">
                  <c:v>68754.658586803984</c:v>
                </c:pt>
                <c:pt idx="25">
                  <c:v>65660.897568907574</c:v>
                </c:pt>
                <c:pt idx="26">
                  <c:v>61107.737334800549</c:v>
                </c:pt>
                <c:pt idx="27">
                  <c:v>55379.874197905337</c:v>
                </c:pt>
                <c:pt idx="28">
                  <c:v>49148.164744346381</c:v>
                </c:pt>
                <c:pt idx="29">
                  <c:v>44179.123345352156</c:v>
                </c:pt>
                <c:pt idx="30">
                  <c:v>41956.80575060533</c:v>
                </c:pt>
                <c:pt idx="31">
                  <c:v>41153.14629441189</c:v>
                </c:pt>
                <c:pt idx="32">
                  <c:v>40577.947518913694</c:v>
                </c:pt>
                <c:pt idx="33">
                  <c:v>40256.118427238049</c:v>
                </c:pt>
                <c:pt idx="34">
                  <c:v>40066.6831719658</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0.3500623359100925</c:v>
                </c:pt>
                <c:pt idx="20">
                  <c:v>0.3438026047293169</c:v>
                </c:pt>
                <c:pt idx="21">
                  <c:v>0.3380169553262321</c:v>
                </c:pt>
                <c:pt idx="22">
                  <c:v>0.33051070996674337</c:v>
                </c:pt>
                <c:pt idx="23">
                  <c:v>0.31962529157380637</c:v>
                </c:pt>
                <c:pt idx="24">
                  <c:v>0.30787127081573057</c:v>
                </c:pt>
                <c:pt idx="25">
                  <c:v>0.29425409089645527</c:v>
                </c:pt>
                <c:pt idx="26">
                  <c:v>0.28768680692352339</c:v>
                </c:pt>
                <c:pt idx="27">
                  <c:v>0.28150418855403753</c:v>
                </c:pt>
                <c:pt idx="28">
                  <c:v>0.27816050393767072</c:v>
                </c:pt>
                <c:pt idx="29">
                  <c:v>0.27390419634685448</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0.34627198075435878</c:v>
                </c:pt>
                <c:pt idx="20">
                  <c:v>0.33989481024124224</c:v>
                </c:pt>
                <c:pt idx="21">
                  <c:v>0.33413125725568837</c:v>
                </c:pt>
                <c:pt idx="22">
                  <c:v>0.32701609700078987</c:v>
                </c:pt>
                <c:pt idx="23">
                  <c:v>0.31618238205224958</c:v>
                </c:pt>
                <c:pt idx="24">
                  <c:v>0.30413858810988276</c:v>
                </c:pt>
                <c:pt idx="25">
                  <c:v>0.29062296607498156</c:v>
                </c:pt>
                <c:pt idx="26">
                  <c:v>0.28421675673649871</c:v>
                </c:pt>
                <c:pt idx="27">
                  <c:v>0.27851009242749419</c:v>
                </c:pt>
                <c:pt idx="28">
                  <c:v>0.2747788992033291</c:v>
                </c:pt>
                <c:pt idx="29">
                  <c:v>0.27098039260836898</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0.24522876987565811</c:v>
                </c:pt>
                <c:pt idx="20">
                  <c:v>0.24243432508893911</c:v>
                </c:pt>
                <c:pt idx="21">
                  <c:v>0.23795491091398807</c:v>
                </c:pt>
                <c:pt idx="22">
                  <c:v>0.23233804020441789</c:v>
                </c:pt>
                <c:pt idx="23">
                  <c:v>0.22386261854350081</c:v>
                </c:pt>
                <c:pt idx="24">
                  <c:v>0.21275401102958696</c:v>
                </c:pt>
                <c:pt idx="25">
                  <c:v>0.20490865046230008</c:v>
                </c:pt>
                <c:pt idx="26">
                  <c:v>0.19743942837011796</c:v>
                </c:pt>
                <c:pt idx="27">
                  <c:v>0.19324752497514991</c:v>
                </c:pt>
                <c:pt idx="28">
                  <c:v>0.19048116393217887</c:v>
                </c:pt>
                <c:pt idx="29">
                  <c:v>0.18613602357514569</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5.374485894978951E-4</c:v>
                </c:pt>
                <c:pt idx="20">
                  <c:v>1.481779635410637E-3</c:v>
                </c:pt>
                <c:pt idx="21">
                  <c:v>3.8276221935649342E-3</c:v>
                </c:pt>
                <c:pt idx="22">
                  <c:v>1.3404340740038592E-2</c:v>
                </c:pt>
                <c:pt idx="23">
                  <c:v>3.768165700453583E-2</c:v>
                </c:pt>
                <c:pt idx="24">
                  <c:v>6.9490384861531238E-2</c:v>
                </c:pt>
                <c:pt idx="25">
                  <c:v>0.10116041501338618</c:v>
                </c:pt>
                <c:pt idx="26">
                  <c:v>0.11872379018047405</c:v>
                </c:pt>
                <c:pt idx="27">
                  <c:v>0.12988601929861848</c:v>
                </c:pt>
                <c:pt idx="28">
                  <c:v>0.13744830293477117</c:v>
                </c:pt>
                <c:pt idx="29">
                  <c:v>0.14231223055690556</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4.2013908117690636E-3</c:v>
                </c:pt>
                <c:pt idx="20">
                  <c:v>1.8974645438041372E-2</c:v>
                </c:pt>
                <c:pt idx="21">
                  <c:v>3.2657486779777881E-2</c:v>
                </c:pt>
                <c:pt idx="22">
                  <c:v>4.3319069328905196E-2</c:v>
                </c:pt>
                <c:pt idx="23">
                  <c:v>4.9236317179780928E-2</c:v>
                </c:pt>
                <c:pt idx="24">
                  <c:v>5.2334014889619425E-2</c:v>
                </c:pt>
                <c:pt idx="25">
                  <c:v>5.5642148492535334E-2</c:v>
                </c:pt>
                <c:pt idx="26">
                  <c:v>5.8235432489177799E-2</c:v>
                </c:pt>
                <c:pt idx="27">
                  <c:v>6.2356650973751433E-2</c:v>
                </c:pt>
                <c:pt idx="28">
                  <c:v>6.5433344691842033E-2</c:v>
                </c:pt>
                <c:pt idx="29">
                  <c:v>7.2171633141776853E-2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1.2547673097191039E-2</c:v>
                </c:pt>
                <c:pt idx="3">
                  <c:v>3.1100695703046483E-2</c:v>
                </c:pt>
                <c:pt idx="4">
                  <c:v>6.0408111427562639E-2</c:v>
                </c:pt>
                <c:pt idx="5">
                  <c:v>5.9557501635858962E-2</c:v>
                </c:pt>
                <c:pt idx="6">
                  <c:v>7.720380171959601E-2</c:v>
                </c:pt>
                <c:pt idx="7">
                  <c:v>8.7134664778348053E-2</c:v>
                </c:pt>
                <c:pt idx="8">
                  <c:v>9.9215875476730483E-2</c:v>
                </c:pt>
                <c:pt idx="9">
                  <c:v>0.10364119246859943</c:v>
                </c:pt>
                <c:pt idx="10">
                  <c:v>0.10766690131543438</c:v>
                </c:pt>
                <c:pt idx="11">
                  <c:v>0.11015253480264306</c:v>
                </c:pt>
                <c:pt idx="12">
                  <c:v>0.1126810246685413</c:v>
                </c:pt>
                <c:pt idx="13">
                  <c:v>0.11214119355313418</c:v>
                </c:pt>
                <c:pt idx="14">
                  <c:v>0.11181815442856746</c:v>
                </c:pt>
                <c:pt idx="15">
                  <c:v>0.11138859519233435</c:v>
                </c:pt>
                <c:pt idx="16">
                  <c:v>0.11560954619435981</c:v>
                </c:pt>
                <c:pt idx="17">
                  <c:v>0.11431190870559707</c:v>
                </c:pt>
                <c:pt idx="18">
                  <c:v>0.11499031057813638</c:v>
                </c:pt>
                <c:pt idx="19">
                  <c:v>0.11480411993991133</c:v>
                </c:pt>
                <c:pt idx="20">
                  <c:v>0.11567251071220086</c:v>
                </c:pt>
                <c:pt idx="21">
                  <c:v>0.11448374234306767</c:v>
                </c:pt>
                <c:pt idx="22">
                  <c:v>0.11138869410759286</c:v>
                </c:pt>
                <c:pt idx="23">
                  <c:v>0.10696220820355531</c:v>
                </c:pt>
                <c:pt idx="24">
                  <c:v>0.10145282779527248</c:v>
                </c:pt>
                <c:pt idx="25">
                  <c:v>9.4480516659736585E-2</c:v>
                </c:pt>
                <c:pt idx="26">
                  <c:v>8.9619411427993428E-2</c:v>
                </c:pt>
                <c:pt idx="27">
                  <c:v>8.5687893950261565E-2</c:v>
                </c:pt>
                <c:pt idx="28">
                  <c:v>8.427622221592776E-2</c:v>
                </c:pt>
                <c:pt idx="29">
                  <c:v>8.2559500691314014E-2</c:v>
                </c:pt>
                <c:pt idx="30">
                  <c:v>8.1931540782855361E-2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1.3404440663541045E-2</c:v>
                </c:pt>
                <c:pt idx="3">
                  <c:v>3.1160728167214553E-2</c:v>
                </c:pt>
                <c:pt idx="4">
                  <c:v>5.7160314871459728E-2</c:v>
                </c:pt>
                <c:pt idx="5">
                  <c:v>7.9420976323347325E-2</c:v>
                </c:pt>
                <c:pt idx="6">
                  <c:v>0.12720241654081826</c:v>
                </c:pt>
                <c:pt idx="7">
                  <c:v>0.15123040726624068</c:v>
                </c:pt>
                <c:pt idx="8">
                  <c:v>0.16068832447582265</c:v>
                </c:pt>
                <c:pt idx="9">
                  <c:v>0.15864775872108833</c:v>
                </c:pt>
                <c:pt idx="10">
                  <c:v>0.1633029207302355</c:v>
                </c:pt>
                <c:pt idx="11">
                  <c:v>0.16134739470854015</c:v>
                </c:pt>
                <c:pt idx="12">
                  <c:v>0.16942809913617535</c:v>
                </c:pt>
                <c:pt idx="13">
                  <c:v>0.16918157808523221</c:v>
                </c:pt>
                <c:pt idx="14">
                  <c:v>0.16887287276110388</c:v>
                </c:pt>
                <c:pt idx="15">
                  <c:v>0.16745021902726298</c:v>
                </c:pt>
                <c:pt idx="16">
                  <c:v>0.16602889625877809</c:v>
                </c:pt>
                <c:pt idx="17">
                  <c:v>0.16698324525489427</c:v>
                </c:pt>
                <c:pt idx="18">
                  <c:v>0.16573658060600838</c:v>
                </c:pt>
                <c:pt idx="19">
                  <c:v>0.16815594313248727</c:v>
                </c:pt>
                <c:pt idx="20">
                  <c:v>0.17358902116539157</c:v>
                </c:pt>
                <c:pt idx="21">
                  <c:v>0.17269724041220691</c:v>
                </c:pt>
                <c:pt idx="22">
                  <c:v>0.16955048745394086</c:v>
                </c:pt>
                <c:pt idx="23">
                  <c:v>0.16348332190916942</c:v>
                </c:pt>
                <c:pt idx="24">
                  <c:v>0.15492287974353777</c:v>
                </c:pt>
                <c:pt idx="25">
                  <c:v>0.14415242851397475</c:v>
                </c:pt>
                <c:pt idx="26">
                  <c:v>0.13596148817088693</c:v>
                </c:pt>
                <c:pt idx="27">
                  <c:v>0.1262892813744258</c:v>
                </c:pt>
                <c:pt idx="28">
                  <c:v>0.12411454934192277</c:v>
                </c:pt>
                <c:pt idx="29">
                  <c:v>0.11947888134412363</c:v>
                </c:pt>
                <c:pt idx="30">
                  <c:v>0.11855841674127368</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6.9194238224012505E-4</c:v>
                </c:pt>
                <c:pt idx="3">
                  <c:v>2.4451035288786077E-3</c:v>
                </c:pt>
                <c:pt idx="4">
                  <c:v>7.5344194486849196E-3</c:v>
                </c:pt>
                <c:pt idx="5">
                  <c:v>1.8893926803355453E-2</c:v>
                </c:pt>
                <c:pt idx="6">
                  <c:v>3.2517180460781184E-2</c:v>
                </c:pt>
                <c:pt idx="7">
                  <c:v>4.5854497332117647E-2</c:v>
                </c:pt>
                <c:pt idx="8">
                  <c:v>5.5973990431331153E-2</c:v>
                </c:pt>
                <c:pt idx="9">
                  <c:v>6.7329709603413779E-2</c:v>
                </c:pt>
                <c:pt idx="10">
                  <c:v>7.4489672115651218E-2</c:v>
                </c:pt>
                <c:pt idx="11">
                  <c:v>7.5280719895959691E-2</c:v>
                </c:pt>
                <c:pt idx="12">
                  <c:v>7.7602815930079616E-2</c:v>
                </c:pt>
                <c:pt idx="13">
                  <c:v>7.8011793694715642E-2</c:v>
                </c:pt>
                <c:pt idx="14">
                  <c:v>7.756812805526124E-2</c:v>
                </c:pt>
                <c:pt idx="15">
                  <c:v>7.7732035649353812E-2</c:v>
                </c:pt>
                <c:pt idx="16">
                  <c:v>7.4904340083485177E-2</c:v>
                </c:pt>
                <c:pt idx="17">
                  <c:v>7.516300590630573E-2</c:v>
                </c:pt>
                <c:pt idx="18">
                  <c:v>7.5121610676343042E-2</c:v>
                </c:pt>
                <c:pt idx="19">
                  <c:v>7.6224813404459454E-2</c:v>
                </c:pt>
                <c:pt idx="20">
                  <c:v>7.6078371752166515E-2</c:v>
                </c:pt>
                <c:pt idx="21">
                  <c:v>7.5063175435440249E-2</c:v>
                </c:pt>
                <c:pt idx="22">
                  <c:v>7.5112679181543768E-2</c:v>
                </c:pt>
                <c:pt idx="23">
                  <c:v>7.188512345876108E-2</c:v>
                </c:pt>
                <c:pt idx="24">
                  <c:v>6.6003025462648232E-2</c:v>
                </c:pt>
                <c:pt idx="25">
                  <c:v>6.1889208738762004E-2</c:v>
                </c:pt>
                <c:pt idx="26">
                  <c:v>5.9170723236285569E-2</c:v>
                </c:pt>
                <c:pt idx="27">
                  <c:v>5.6045182951792644E-2</c:v>
                </c:pt>
                <c:pt idx="28">
                  <c:v>5.5209007897374929E-2</c:v>
                </c:pt>
                <c:pt idx="29">
                  <c:v>5.4186250987615786E-2</c:v>
                </c:pt>
                <c:pt idx="30">
                  <c:v>5.3792144299620884E-2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4.6724128592693818E-8</c:v>
                </c:pt>
                <c:pt idx="6">
                  <c:v>1.1178109355288165E-6</c:v>
                </c:pt>
                <c:pt idx="7">
                  <c:v>1.7462680284877428E-5</c:v>
                </c:pt>
                <c:pt idx="8">
                  <c:v>1.0290992475755624E-4</c:v>
                </c:pt>
                <c:pt idx="9">
                  <c:v>4.3102061507285371E-4</c:v>
                </c:pt>
                <c:pt idx="10">
                  <c:v>1.0077408173046116E-3</c:v>
                </c:pt>
                <c:pt idx="11">
                  <c:v>1.4538934492630293E-3</c:v>
                </c:pt>
                <c:pt idx="12">
                  <c:v>2.0705440525270674E-3</c:v>
                </c:pt>
                <c:pt idx="13">
                  <c:v>2.9490508879693408E-3</c:v>
                </c:pt>
                <c:pt idx="14">
                  <c:v>4.1012747603865907E-3</c:v>
                </c:pt>
                <c:pt idx="15">
                  <c:v>5.8112911190675107E-3</c:v>
                </c:pt>
                <c:pt idx="16">
                  <c:v>6.5239867959531322E-3</c:v>
                </c:pt>
                <c:pt idx="17">
                  <c:v>6.5971382814877738E-3</c:v>
                </c:pt>
                <c:pt idx="18">
                  <c:v>7.4923930155340853E-3</c:v>
                </c:pt>
                <c:pt idx="19">
                  <c:v>8.4664500446828897E-3</c:v>
                </c:pt>
                <c:pt idx="20">
                  <c:v>9.9271630530109595E-3</c:v>
                </c:pt>
                <c:pt idx="21">
                  <c:v>1.2517584324213883E-2</c:v>
                </c:pt>
                <c:pt idx="22">
                  <c:v>1.7012875671224861E-2</c:v>
                </c:pt>
                <c:pt idx="23">
                  <c:v>2.4677776240838459E-2</c:v>
                </c:pt>
                <c:pt idx="24">
                  <c:v>3.4825787888914224E-2</c:v>
                </c:pt>
                <c:pt idx="25">
                  <c:v>4.6092087658403072E-2</c:v>
                </c:pt>
                <c:pt idx="26">
                  <c:v>5.1281271040506185E-2</c:v>
                </c:pt>
                <c:pt idx="27">
                  <c:v>5.4765413160533752E-2</c:v>
                </c:pt>
                <c:pt idx="28">
                  <c:v>5.5652976917073008E-2</c:v>
                </c:pt>
                <c:pt idx="29">
                  <c:v>5.6522612970082139E-2</c:v>
                </c:pt>
                <c:pt idx="30">
                  <c:v>5.6076906459200396E-2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6.5554256123334041E-6</c:v>
                </c:pt>
                <c:pt idx="16">
                  <c:v>3.1277083742341334E-5</c:v>
                </c:pt>
                <c:pt idx="17">
                  <c:v>4.6581647907086258E-5</c:v>
                </c:pt>
                <c:pt idx="18">
                  <c:v>1.529704843190378E-4</c:v>
                </c:pt>
                <c:pt idx="19">
                  <c:v>4.1720304207687871E-4</c:v>
                </c:pt>
                <c:pt idx="20">
                  <c:v>1.2064961314933206E-3</c:v>
                </c:pt>
                <c:pt idx="21">
                  <c:v>2.9202281818941668E-3</c:v>
                </c:pt>
                <c:pt idx="22">
                  <c:v>6.4802592483076387E-3</c:v>
                </c:pt>
                <c:pt idx="23">
                  <c:v>1.2536575782749457E-2</c:v>
                </c:pt>
                <c:pt idx="24">
                  <c:v>2.0927066465246766E-2</c:v>
                </c:pt>
                <c:pt idx="25">
                  <c:v>3.2930769022359432E-2</c:v>
                </c:pt>
                <c:pt idx="26">
                  <c:v>4.0440783817264146E-2</c:v>
                </c:pt>
                <c:pt idx="27">
                  <c:v>4.5281063907066592E-2</c:v>
                </c:pt>
                <c:pt idx="28">
                  <c:v>4.8816078971781821E-2</c:v>
                </c:pt>
                <c:pt idx="29">
                  <c:v>5.0747440707456376E-2</c:v>
                </c:pt>
                <c:pt idx="30">
                  <c:v>5.3135678417641587E-2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1.9320974503154918E-2</c:v>
                </c:pt>
                <c:pt idx="2">
                  <c:v>4.7683075961626464E-2</c:v>
                </c:pt>
                <c:pt idx="3">
                  <c:v>0.10345956622031828</c:v>
                </c:pt>
                <c:pt idx="4">
                  <c:v>0.14151509031258691</c:v>
                </c:pt>
                <c:pt idx="5">
                  <c:v>0.17755941384875584</c:v>
                </c:pt>
                <c:pt idx="6">
                  <c:v>0.23715290852882975</c:v>
                </c:pt>
                <c:pt idx="7">
                  <c:v>0.2761237922943523</c:v>
                </c:pt>
                <c:pt idx="8">
                  <c:v>0.29428939698953394</c:v>
                </c:pt>
                <c:pt idx="9">
                  <c:v>0.31275848814708396</c:v>
                </c:pt>
                <c:pt idx="10">
                  <c:v>0.32585057865087641</c:v>
                </c:pt>
                <c:pt idx="11">
                  <c:v>0.32633863581529982</c:v>
                </c:pt>
                <c:pt idx="12">
                  <c:v>0.32660835275787609</c:v>
                </c:pt>
                <c:pt idx="13">
                  <c:v>0.32652844142551202</c:v>
                </c:pt>
                <c:pt idx="14">
                  <c:v>0.32263193017682401</c:v>
                </c:pt>
                <c:pt idx="15">
                  <c:v>0.32023964660159121</c:v>
                </c:pt>
                <c:pt idx="16">
                  <c:v>0.31724247285937723</c:v>
                </c:pt>
                <c:pt idx="17">
                  <c:v>0.3144535616758739</c:v>
                </c:pt>
                <c:pt idx="18">
                  <c:v>0.29760232792366287</c:v>
                </c:pt>
                <c:pt idx="19">
                  <c:v>0.27412025350178815</c:v>
                </c:pt>
                <c:pt idx="20">
                  <c:v>0.25644757510045491</c:v>
                </c:pt>
                <c:pt idx="21">
                  <c:v>0.24097026514782516</c:v>
                </c:pt>
                <c:pt idx="22">
                  <c:v>0.22863135719937888</c:v>
                </c:pt>
                <c:pt idx="23">
                  <c:v>0.22323077152391929</c:v>
                </c:pt>
                <c:pt idx="24">
                  <c:v>0.21500933063295213</c:v>
                </c:pt>
                <c:pt idx="25">
                  <c:v>0.20891591507104634</c:v>
                </c:pt>
                <c:pt idx="26">
                  <c:v>0.2050130323340783</c:v>
                </c:pt>
                <c:pt idx="27">
                  <c:v>0.20237838256804153</c:v>
                </c:pt>
                <c:pt idx="28">
                  <c:v>0.20151443939783126</c:v>
                </c:pt>
                <c:pt idx="29">
                  <c:v>0.20041051410055011</c:v>
                </c:pt>
                <c:pt idx="30">
                  <c:v>0.19977515155670206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1.3455249658722822E-2</c:v>
                </c:pt>
                <c:pt idx="2">
                  <c:v>3.232747481828202E-2</c:v>
                </c:pt>
                <c:pt idx="3">
                  <c:v>6.3624308200235916E-2</c:v>
                </c:pt>
                <c:pt idx="4">
                  <c:v>0.11524108267044397</c:v>
                </c:pt>
                <c:pt idx="5">
                  <c:v>0.16909548843894029</c:v>
                </c:pt>
                <c:pt idx="6">
                  <c:v>0.22574142219238175</c:v>
                </c:pt>
                <c:pt idx="7">
                  <c:v>0.26607141837189874</c:v>
                </c:pt>
                <c:pt idx="8">
                  <c:v>0.2895866902071218</c:v>
                </c:pt>
                <c:pt idx="9">
                  <c:v>0.31031495049379798</c:v>
                </c:pt>
                <c:pt idx="10">
                  <c:v>0.32464506618563749</c:v>
                </c:pt>
                <c:pt idx="11">
                  <c:v>0.326192408558932</c:v>
                </c:pt>
                <c:pt idx="12">
                  <c:v>0.3264620046455502</c:v>
                </c:pt>
                <c:pt idx="13">
                  <c:v>0.32638212912020859</c:v>
                </c:pt>
                <c:pt idx="14">
                  <c:v>0.32248736383747983</c:v>
                </c:pt>
                <c:pt idx="15">
                  <c:v>0.31796821361245642</c:v>
                </c:pt>
                <c:pt idx="16">
                  <c:v>0.3171003214518564</c:v>
                </c:pt>
                <c:pt idx="17">
                  <c:v>0.31431265993598623</c:v>
                </c:pt>
                <c:pt idx="18">
                  <c:v>0.29746897695897478</c:v>
                </c:pt>
                <c:pt idx="19">
                  <c:v>0.27385349992984731</c:v>
                </c:pt>
                <c:pt idx="20">
                  <c:v>0.25561130741750793</c:v>
                </c:pt>
                <c:pt idx="21">
                  <c:v>0.24014197424756095</c:v>
                </c:pt>
                <c:pt idx="22">
                  <c:v>0.22776597614521432</c:v>
                </c:pt>
                <c:pt idx="23">
                  <c:v>0.22238320628385599</c:v>
                </c:pt>
                <c:pt idx="24">
                  <c:v>0.2141348401030097</c:v>
                </c:pt>
                <c:pt idx="25">
                  <c:v>0.2080582704286697</c:v>
                </c:pt>
                <c:pt idx="26">
                  <c:v>0.20441624379852047</c:v>
                </c:pt>
                <c:pt idx="27">
                  <c:v>0.20204971396374127</c:v>
                </c:pt>
                <c:pt idx="28">
                  <c:v>0.20118762508806393</c:v>
                </c:pt>
                <c:pt idx="29">
                  <c:v>0.20008409653791381</c:v>
                </c:pt>
                <c:pt idx="30">
                  <c:v>0.19944893409129072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9.6008347618844022E-5</c:v>
                </c:pt>
                <c:pt idx="12">
                  <c:v>1.1687041812735916E-3</c:v>
                </c:pt>
                <c:pt idx="13">
                  <c:v>4.5385972600764223E-3</c:v>
                </c:pt>
                <c:pt idx="14">
                  <c:v>1.2381158990103849E-2</c:v>
                </c:pt>
                <c:pt idx="15">
                  <c:v>2.852411875834121E-2</c:v>
                </c:pt>
                <c:pt idx="16">
                  <c:v>3.5779255867727455E-2</c:v>
                </c:pt>
                <c:pt idx="17">
                  <c:v>3.9181857474736737E-2</c:v>
                </c:pt>
                <c:pt idx="18">
                  <c:v>4.4082254206169944E-2</c:v>
                </c:pt>
                <c:pt idx="19">
                  <c:v>5.1996855894687659E-2</c:v>
                </c:pt>
                <c:pt idx="20">
                  <c:v>6.4670529956400116E-2</c:v>
                </c:pt>
                <c:pt idx="21">
                  <c:v>8.0025654768276472E-2</c:v>
                </c:pt>
                <c:pt idx="22">
                  <c:v>0.10365271664976033</c:v>
                </c:pt>
                <c:pt idx="23">
                  <c:v>0.13053797119845584</c:v>
                </c:pt>
                <c:pt idx="24">
                  <c:v>0.1563515692271977</c:v>
                </c:pt>
                <c:pt idx="25">
                  <c:v>0.17639274357301377</c:v>
                </c:pt>
                <c:pt idx="26">
                  <c:v>0.18885409051751681</c:v>
                </c:pt>
                <c:pt idx="27">
                  <c:v>0.19574254843942959</c:v>
                </c:pt>
                <c:pt idx="28">
                  <c:v>0.20138629920938533</c:v>
                </c:pt>
                <c:pt idx="29">
                  <c:v>0.20292205050697215</c:v>
                </c:pt>
                <c:pt idx="30">
                  <c:v>0.20462734499130902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2.2614942715878054E-3</c:v>
                </c:pt>
                <c:pt idx="24">
                  <c:v>9.6567997832195992E-3</c:v>
                </c:pt>
                <c:pt idx="25">
                  <c:v>1.9217742184195474E-2</c:v>
                </c:pt>
                <c:pt idx="26">
                  <c:v>2.709917965395979E-2</c:v>
                </c:pt>
                <c:pt idx="27">
                  <c:v>3.3283154242359558E-2</c:v>
                </c:pt>
                <c:pt idx="28">
                  <c:v>3.7665202292405303E-2</c:v>
                </c:pt>
                <c:pt idx="29">
                  <c:v>4.0758008152818583E-2</c:v>
                </c:pt>
                <c:pt idx="30">
                  <c:v>4.3724783918964803E-2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4.0540431074845407E-7</c:v>
                </c:pt>
                <c:pt idx="17">
                  <c:v>2.1769791679692703E-3</c:v>
                </c:pt>
                <c:pt idx="18">
                  <c:v>3.0972456640106425E-2</c:v>
                </c:pt>
                <c:pt idx="19">
                  <c:v>7.1406540330252913E-2</c:v>
                </c:pt>
                <c:pt idx="20">
                  <c:v>9.603046855694429E-2</c:v>
                </c:pt>
                <c:pt idx="21">
                  <c:v>0.11162203472495323</c:v>
                </c:pt>
                <c:pt idx="22">
                  <c:v>0.12145444498273882</c:v>
                </c:pt>
                <c:pt idx="23">
                  <c:v>0.13640416628684629</c:v>
                </c:pt>
                <c:pt idx="24">
                  <c:v>0.14810797551545857</c:v>
                </c:pt>
                <c:pt idx="25">
                  <c:v>0.15568114324825219</c:v>
                </c:pt>
                <c:pt idx="26">
                  <c:v>0.16027940722615786</c:v>
                </c:pt>
                <c:pt idx="27">
                  <c:v>0.16440877444418422</c:v>
                </c:pt>
                <c:pt idx="28">
                  <c:v>0.17506780430811861</c:v>
                </c:pt>
                <c:pt idx="29">
                  <c:v>0.18643884148005233</c:v>
                </c:pt>
                <c:pt idx="30">
                  <c:v>0.19618769484705906</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0.23668023741946334</c:v>
                </c:pt>
                <c:pt idx="33">
                  <c:v>0.23175633638692841</c:v>
                </c:pt>
                <c:pt idx="34">
                  <c:v>0.22755809715747446</c:v>
                </c:pt>
                <c:pt idx="35">
                  <c:v>0.22216836239678017</c:v>
                </c:pt>
                <c:pt idx="36">
                  <c:v>0.21431659991106558</c:v>
                </c:pt>
                <c:pt idx="37">
                  <c:v>0.20617417592322113</c:v>
                </c:pt>
                <c:pt idx="38">
                  <c:v>0.19726058727012899</c:v>
                </c:pt>
                <c:pt idx="39">
                  <c:v>0.19310992949177638</c:v>
                </c:pt>
                <c:pt idx="40">
                  <c:v>0.18936709425089296</c:v>
                </c:pt>
                <c:pt idx="41">
                  <c:v>0.18699542885828768</c:v>
                </c:pt>
                <c:pt idx="42">
                  <c:v>0.18461151272659676</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0.23539433897076589</c:v>
                </c:pt>
                <c:pt idx="33">
                  <c:v>0.23044076817599132</c:v>
                </c:pt>
                <c:pt idx="34">
                  <c:v>0.22625450441977643</c:v>
                </c:pt>
                <c:pt idx="35">
                  <c:v>0.22094171856937594</c:v>
                </c:pt>
                <c:pt idx="36">
                  <c:v>0.21312003048875142</c:v>
                </c:pt>
                <c:pt idx="37">
                  <c:v>0.20495496076516279</c:v>
                </c:pt>
                <c:pt idx="38">
                  <c:v>0.19609202670837722</c:v>
                </c:pt>
                <c:pt idx="39">
                  <c:v>0.19199832901557704</c:v>
                </c:pt>
                <c:pt idx="40">
                  <c:v>0.18834598294304705</c:v>
                </c:pt>
                <c:pt idx="41">
                  <c:v>0.18592056894814213</c:v>
                </c:pt>
                <c:pt idx="42">
                  <c:v>0.18362022857327426</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0.17911738744831177</c:v>
                </c:pt>
                <c:pt idx="33">
                  <c:v>0.17655664848295011</c:v>
                </c:pt>
                <c:pt idx="34">
                  <c:v>0.17312450292664908</c:v>
                </c:pt>
                <c:pt idx="35">
                  <c:v>0.16874660965908758</c:v>
                </c:pt>
                <c:pt idx="36">
                  <c:v>0.1623766202027451</c:v>
                </c:pt>
                <c:pt idx="37">
                  <c:v>0.15452816294287736</c:v>
                </c:pt>
                <c:pt idx="38">
                  <c:v>0.14900022170371452</c:v>
                </c:pt>
                <c:pt idx="39">
                  <c:v>0.14404622275114465</c:v>
                </c:pt>
                <c:pt idx="40">
                  <c:v>0.14114766075571641</c:v>
                </c:pt>
                <c:pt idx="41">
                  <c:v>0.13921902983139156</c:v>
                </c:pt>
                <c:pt idx="42">
                  <c:v>0.13611730384881793</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1.2149814314337487E-3</c:v>
                </c:pt>
                <c:pt idx="16">
                  <c:v>2.9594427608755788E-3</c:v>
                </c:pt>
                <c:pt idx="17">
                  <c:v>5.8052641509668294E-3</c:v>
                </c:pt>
                <c:pt idx="18">
                  <c:v>7.2028464649523975E-3</c:v>
                </c:pt>
                <c:pt idx="19">
                  <c:v>1.0092516758942545E-2</c:v>
                </c:pt>
                <c:pt idx="20">
                  <c:v>1.2737881943185802E-2</c:v>
                </c:pt>
                <c:pt idx="21">
                  <c:v>1.458463408533496E-2</c:v>
                </c:pt>
                <c:pt idx="22">
                  <c:v>1.5570474324356992E-2</c:v>
                </c:pt>
                <c:pt idx="23">
                  <c:v>1.6096332615707858E-2</c:v>
                </c:pt>
                <c:pt idx="24">
                  <c:v>1.6327868786070926E-2</c:v>
                </c:pt>
                <c:pt idx="25">
                  <c:v>1.6541354948290843E-2</c:v>
                </c:pt>
                <c:pt idx="26">
                  <c:v>1.6389896944691774E-2</c:v>
                </c:pt>
                <c:pt idx="27">
                  <c:v>1.6282784018003069E-2</c:v>
                </c:pt>
                <c:pt idx="28">
                  <c:v>1.6167990524694347E-2</c:v>
                </c:pt>
                <c:pt idx="29">
                  <c:v>1.6583479088943233E-2</c:v>
                </c:pt>
                <c:pt idx="30">
                  <c:v>1.6455607803415009E-2</c:v>
                </c:pt>
                <c:pt idx="31">
                  <c:v>1.645231769840147E-2</c:v>
                </c:pt>
                <c:pt idx="32">
                  <c:v>1.6367744058845318E-2</c:v>
                </c:pt>
                <c:pt idx="33">
                  <c:v>1.6387422330095942E-2</c:v>
                </c:pt>
                <c:pt idx="34">
                  <c:v>1.6145559263635253E-2</c:v>
                </c:pt>
                <c:pt idx="35">
                  <c:v>1.5660398427855406E-2</c:v>
                </c:pt>
                <c:pt idx="36">
                  <c:v>1.5009040006667368E-2</c:v>
                </c:pt>
                <c:pt idx="37">
                  <c:v>1.4288826208734132E-2</c:v>
                </c:pt>
                <c:pt idx="38">
                  <c:v>1.3506818182887096E-2</c:v>
                </c:pt>
                <c:pt idx="39">
                  <c:v>1.2927017264792949E-2</c:v>
                </c:pt>
                <c:pt idx="40">
                  <c:v>1.251928839989183E-2</c:v>
                </c:pt>
                <c:pt idx="41">
                  <c:v>1.2352294800775297E-2</c:v>
                </c:pt>
                <c:pt idx="42">
                  <c:v>1.2183845910963911E-2</c:v>
                </c:pt>
                <c:pt idx="43">
                  <c:v>1.2109137019203436E-2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1.3838052924171479E-3</c:v>
                </c:pt>
                <c:pt idx="16">
                  <c:v>3.2254909139242008E-3</c:v>
                </c:pt>
                <c:pt idx="17">
                  <c:v>6.2632347926556992E-3</c:v>
                </c:pt>
                <c:pt idx="18">
                  <c:v>1.0353363960667428E-2</c:v>
                </c:pt>
                <c:pt idx="19">
                  <c:v>1.6404824942126559E-2</c:v>
                </c:pt>
                <c:pt idx="20">
                  <c:v>1.9841683846382043E-2</c:v>
                </c:pt>
                <c:pt idx="21">
                  <c:v>2.1274325579791396E-2</c:v>
                </c:pt>
                <c:pt idx="22">
                  <c:v>2.1313153372313851E-2</c:v>
                </c:pt>
                <c:pt idx="23">
                  <c:v>2.1848533494265399E-2</c:v>
                </c:pt>
                <c:pt idx="24">
                  <c:v>2.1610131443238614E-2</c:v>
                </c:pt>
                <c:pt idx="25">
                  <c:v>2.2304826004832329E-2</c:v>
                </c:pt>
                <c:pt idx="26">
                  <c:v>2.2160618981282413E-2</c:v>
                </c:pt>
                <c:pt idx="27">
                  <c:v>2.2052988189403256E-2</c:v>
                </c:pt>
                <c:pt idx="28">
                  <c:v>2.1795971795820143E-2</c:v>
                </c:pt>
                <c:pt idx="29">
                  <c:v>2.166942180339794E-2</c:v>
                </c:pt>
                <c:pt idx="30">
                  <c:v>2.1756150234425682E-2</c:v>
                </c:pt>
                <c:pt idx="31">
                  <c:v>2.1541667066034945E-2</c:v>
                </c:pt>
                <c:pt idx="32">
                  <c:v>2.1701366557854804E-2</c:v>
                </c:pt>
                <c:pt idx="33">
                  <c:v>2.2106966572883885E-2</c:v>
                </c:pt>
                <c:pt idx="34">
                  <c:v>2.1912217643085544E-2</c:v>
                </c:pt>
                <c:pt idx="35">
                  <c:v>2.1410880951355973E-2</c:v>
                </c:pt>
                <c:pt idx="36">
                  <c:v>2.0574679229033544E-2</c:v>
                </c:pt>
                <c:pt idx="37">
                  <c:v>1.9510127476854135E-2</c:v>
                </c:pt>
                <c:pt idx="38">
                  <c:v>1.8380258159415058E-2</c:v>
                </c:pt>
                <c:pt idx="39">
                  <c:v>1.7475888516359867E-2</c:v>
                </c:pt>
                <c:pt idx="40">
                  <c:v>1.6520386511756566E-2</c:v>
                </c:pt>
                <c:pt idx="41">
                  <c:v>1.6276709633969256E-2</c:v>
                </c:pt>
                <c:pt idx="42">
                  <c:v>1.5829821518858211E-2</c:v>
                </c:pt>
                <c:pt idx="43">
                  <c:v>1.57252802223889E-2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2.010048028005898E-4</c:v>
                </c:pt>
                <c:pt idx="16">
                  <c:v>6.4809683004858718E-4</c:v>
                </c:pt>
                <c:pt idx="17">
                  <c:v>1.8250904126049714E-3</c:v>
                </c:pt>
                <c:pt idx="18">
                  <c:v>4.1117935837658159E-3</c:v>
                </c:pt>
                <c:pt idx="19">
                  <c:v>6.612792698327305E-3</c:v>
                </c:pt>
                <c:pt idx="20">
                  <c:v>8.7585362037596662E-3</c:v>
                </c:pt>
                <c:pt idx="21">
                  <c:v>1.0228082678273912E-2</c:v>
                </c:pt>
                <c:pt idx="22">
                  <c:v>1.1573059743576848E-2</c:v>
                </c:pt>
                <c:pt idx="23">
                  <c:v>1.2376127960809565E-2</c:v>
                </c:pt>
                <c:pt idx="24">
                  <c:v>1.2445494704552383E-2</c:v>
                </c:pt>
                <c:pt idx="25">
                  <c:v>1.2601942424084172E-2</c:v>
                </c:pt>
                <c:pt idx="26">
                  <c:v>1.2643833218968302E-2</c:v>
                </c:pt>
                <c:pt idx="27">
                  <c:v>1.2520743740017106E-2</c:v>
                </c:pt>
                <c:pt idx="28">
                  <c:v>1.2421740691715527E-2</c:v>
                </c:pt>
                <c:pt idx="29">
                  <c:v>1.2048281899038395E-2</c:v>
                </c:pt>
                <c:pt idx="30">
                  <c:v>1.2069346838711551E-2</c:v>
                </c:pt>
                <c:pt idx="31">
                  <c:v>1.206717464317641E-2</c:v>
                </c:pt>
                <c:pt idx="32">
                  <c:v>1.2148705517726016E-2</c:v>
                </c:pt>
                <c:pt idx="33">
                  <c:v>1.2046826560194054E-2</c:v>
                </c:pt>
                <c:pt idx="34">
                  <c:v>1.1835673444606972E-2</c:v>
                </c:pt>
                <c:pt idx="35">
                  <c:v>1.1672679126160332E-2</c:v>
                </c:pt>
                <c:pt idx="36">
                  <c:v>1.1169369753025436E-2</c:v>
                </c:pt>
                <c:pt idx="37">
                  <c:v>1.0446012880728285E-2</c:v>
                </c:pt>
                <c:pt idx="38">
                  <c:v>9.9527848028476331E-3</c:v>
                </c:pt>
                <c:pt idx="39">
                  <c:v>9.617849684670424E-3</c:v>
                </c:pt>
                <c:pt idx="40">
                  <c:v>9.2914115166052823E-3</c:v>
                </c:pt>
                <c:pt idx="41">
                  <c:v>9.1839654721809841E-3</c:v>
                </c:pt>
                <c:pt idx="42">
                  <c:v>9.0618800235762569E-3</c:v>
                </c:pt>
                <c:pt idx="43">
                  <c:v>9.0117400102079862E-3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8.6878615760926828E-2</c:v>
                </c:pt>
                <c:pt idx="16">
                  <c:v>8.2845376782729949E-2</c:v>
                </c:pt>
                <c:pt idx="17">
                  <c:v>7.578481793135082E-2</c:v>
                </c:pt>
                <c:pt idx="18">
                  <c:v>6.8010368694649187E-2</c:v>
                </c:pt>
                <c:pt idx="19">
                  <c:v>5.6567489823504694E-2</c:v>
                </c:pt>
                <c:pt idx="20">
                  <c:v>4.8329690539950919E-2</c:v>
                </c:pt>
                <c:pt idx="21">
                  <c:v>4.3534893049298536E-2</c:v>
                </c:pt>
                <c:pt idx="22">
                  <c:v>4.1004614336733337E-2</c:v>
                </c:pt>
                <c:pt idx="23">
                  <c:v>3.887625268975551E-2</c:v>
                </c:pt>
                <c:pt idx="24">
                  <c:v>3.8629466379868985E-2</c:v>
                </c:pt>
                <c:pt idx="25">
                  <c:v>3.73308047951166E-2</c:v>
                </c:pt>
                <c:pt idx="26">
                  <c:v>3.7289248353575902E-2</c:v>
                </c:pt>
                <c:pt idx="27">
                  <c:v>3.727814045531018E-2</c:v>
                </c:pt>
                <c:pt idx="28">
                  <c:v>3.7274052902654634E-2</c:v>
                </c:pt>
                <c:pt idx="29">
                  <c:v>3.7173486247940056E-2</c:v>
                </c:pt>
                <c:pt idx="30">
                  <c:v>3.717293193124914E-2</c:v>
                </c:pt>
                <c:pt idx="31">
                  <c:v>3.715752673271483E-2</c:v>
                </c:pt>
                <c:pt idx="32">
                  <c:v>3.6721097066541766E-2</c:v>
                </c:pt>
                <c:pt idx="33">
                  <c:v>3.5926817664788148E-2</c:v>
                </c:pt>
                <c:pt idx="34">
                  <c:v>3.5731741839914961E-2</c:v>
                </c:pt>
                <c:pt idx="35">
                  <c:v>3.5492290533632669E-2</c:v>
                </c:pt>
                <c:pt idx="36">
                  <c:v>3.549228911561466E-2</c:v>
                </c:pt>
                <c:pt idx="37">
                  <c:v>3.5714239899344212E-2</c:v>
                </c:pt>
                <c:pt idx="38">
                  <c:v>3.5492288402047094E-2</c:v>
                </c:pt>
                <c:pt idx="39">
                  <c:v>3.592680126280965E-2</c:v>
                </c:pt>
                <c:pt idx="40">
                  <c:v>3.6721053071172648E-2</c:v>
                </c:pt>
                <c:pt idx="41">
                  <c:v>3.6721053071172662E-2</c:v>
                </c:pt>
                <c:pt idx="42">
                  <c:v>3.7157408058048402E-2</c:v>
                </c:pt>
                <c:pt idx="43">
                  <c:v>3.7157408058048423E-2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1.2309207681126061E-2</c:v>
                </c:pt>
                <c:pt idx="33">
                  <c:v>1.2223589341534696E-2</c:v>
                </c:pt>
                <c:pt idx="34">
                  <c:v>1.2223542661823817E-2</c:v>
                </c:pt>
                <c:pt idx="35">
                  <c:v>1.2223525489316215E-2</c:v>
                </c:pt>
                <c:pt idx="36">
                  <c:v>1.2223519171903318E-2</c:v>
                </c:pt>
                <c:pt idx="37">
                  <c:v>1.2223516847857184E-2</c:v>
                </c:pt>
                <c:pt idx="38">
                  <c:v>1.2223515992888298E-2</c:v>
                </c:pt>
                <c:pt idx="39">
                  <c:v>1.230900746999038E-2</c:v>
                </c:pt>
                <c:pt idx="40">
                  <c:v>1.2440005133901031E-2</c:v>
                </c:pt>
                <c:pt idx="41">
                  <c:v>1.2309007469990455E-2</c:v>
                </c:pt>
                <c:pt idx="42">
                  <c:v>1.2440005133901106E-2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6.9961843499340062E-4</c:v>
                </c:pt>
                <c:pt idx="33">
                  <c:v>1.8740839583597712E-3</c:v>
                </c:pt>
                <c:pt idx="34">
                  <c:v>4.4534848702478466E-3</c:v>
                </c:pt>
                <c:pt idx="35">
                  <c:v>1.3025501301343504E-2</c:v>
                </c:pt>
                <c:pt idx="36">
                  <c:v>3.1663335912289113E-2</c:v>
                </c:pt>
                <c:pt idx="37">
                  <c:v>5.4318200691085373E-2</c:v>
                </c:pt>
                <c:pt idx="38">
                  <c:v>7.5745098150100124E-2</c:v>
                </c:pt>
                <c:pt idx="39">
                  <c:v>8.7135447182131162E-2</c:v>
                </c:pt>
                <c:pt idx="40">
                  <c:v>9.4624137570754385E-2</c:v>
                </c:pt>
                <c:pt idx="41">
                  <c:v>9.9571373846955649E-2</c:v>
                </c:pt>
                <c:pt idx="42">
                  <c:v>0.10280813221799327</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4.2284577852660715E-3</c:v>
                </c:pt>
                <c:pt idx="33">
                  <c:v>1.5577821394162195E-2</c:v>
                </c:pt>
                <c:pt idx="34">
                  <c:v>2.4815115703954876E-2</c:v>
                </c:pt>
                <c:pt idx="35">
                  <c:v>3.1323530324023179E-2</c:v>
                </c:pt>
                <c:pt idx="36">
                  <c:v>3.4729142053171923E-2</c:v>
                </c:pt>
                <c:pt idx="37">
                  <c:v>3.6230230569722729E-2</c:v>
                </c:pt>
                <c:pt idx="38">
                  <c:v>3.8107797914717384E-2</c:v>
                </c:pt>
                <c:pt idx="39">
                  <c:v>3.983031182930695E-2</c:v>
                </c:pt>
                <c:pt idx="40">
                  <c:v>4.2504367085614649E-2</c:v>
                </c:pt>
                <c:pt idx="41">
                  <c:v>4.4413838785159074E-2</c:v>
                </c:pt>
                <c:pt idx="42">
                  <c:v>4.8832065239343227E-2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3.458354348500297E-8</c:v>
                </c:pt>
                <c:pt idx="19">
                  <c:v>7.8306467720513004E-7</c:v>
                </c:pt>
                <c:pt idx="20">
                  <c:v>1.0614754299872175E-5</c:v>
                </c:pt>
                <c:pt idx="21">
                  <c:v>5.6471894879503468E-5</c:v>
                </c:pt>
                <c:pt idx="22">
                  <c:v>2.1710551059727558E-4</c:v>
                </c:pt>
                <c:pt idx="23">
                  <c:v>4.811605270399778E-4</c:v>
                </c:pt>
                <c:pt idx="24">
                  <c:v>6.6544597384740622E-4</c:v>
                </c:pt>
                <c:pt idx="25">
                  <c:v>8.994791152543665E-4</c:v>
                </c:pt>
                <c:pt idx="26">
                  <c:v>1.1948097890599201E-3</c:v>
                </c:pt>
                <c:pt idx="27">
                  <c:v>1.5437508848447118E-3</c:v>
                </c:pt>
                <c:pt idx="28">
                  <c:v>2.0171069817201109E-3</c:v>
                </c:pt>
                <c:pt idx="29">
                  <c:v>2.196369688432493E-3</c:v>
                </c:pt>
                <c:pt idx="30">
                  <c:v>2.2133963217565093E-3</c:v>
                </c:pt>
                <c:pt idx="31">
                  <c:v>2.4236958480755694E-3</c:v>
                </c:pt>
                <c:pt idx="32">
                  <c:v>2.6425862267884098E-3</c:v>
                </c:pt>
                <c:pt idx="33">
                  <c:v>2.9374928286397383E-3</c:v>
                </c:pt>
                <c:pt idx="34">
                  <c:v>3.4224475154918457E-3</c:v>
                </c:pt>
                <c:pt idx="35">
                  <c:v>4.1394884489218756E-3</c:v>
                </c:pt>
                <c:pt idx="36">
                  <c:v>5.14913143540352E-3</c:v>
                </c:pt>
                <c:pt idx="37">
                  <c:v>6.3357379114757405E-3</c:v>
                </c:pt>
                <c:pt idx="38">
                  <c:v>7.5603455325061585E-3</c:v>
                </c:pt>
                <c:pt idx="39">
                  <c:v>8.1491344685545673E-3</c:v>
                </c:pt>
                <c:pt idx="40">
                  <c:v>8.4961978773118226E-3</c:v>
                </c:pt>
                <c:pt idx="41">
                  <c:v>8.6281194229160113E-3</c:v>
                </c:pt>
                <c:pt idx="42">
                  <c:v>8.7251031532409144E-3</c:v>
                </c:pt>
                <c:pt idx="43">
                  <c:v>8.6713379488632374E-3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1.5443909735505532E-6</c:v>
                </c:pt>
                <c:pt idx="29">
                  <c:v>7.3685598261960727E-6</c:v>
                </c:pt>
                <c:pt idx="30">
                  <c:v>1.0974158020413703E-5</c:v>
                </c:pt>
                <c:pt idx="31">
                  <c:v>3.6025299175078728E-5</c:v>
                </c:pt>
                <c:pt idx="32">
                  <c:v>9.6907859821998972E-5</c:v>
                </c:pt>
                <c:pt idx="33">
                  <c:v>2.7288133097653035E-4</c:v>
                </c:pt>
                <c:pt idx="34">
                  <c:v>6.3076758084373093E-4</c:v>
                </c:pt>
                <c:pt idx="35">
                  <c:v>1.3026697996520572E-3</c:v>
                </c:pt>
                <c:pt idx="36">
                  <c:v>2.2838977478337845E-3</c:v>
                </c:pt>
                <c:pt idx="37">
                  <c:v>3.3834629104418034E-3</c:v>
                </c:pt>
                <c:pt idx="38">
                  <c:v>4.7859122078752672E-3</c:v>
                </c:pt>
                <c:pt idx="39">
                  <c:v>5.5817160903908567E-3</c:v>
                </c:pt>
                <c:pt idx="40">
                  <c:v>6.1300699108401534E-3</c:v>
                </c:pt>
                <c:pt idx="41">
                  <c:v>6.516264886564105E-3</c:v>
                </c:pt>
                <c:pt idx="42">
                  <c:v>6.7203486228906194E-3</c:v>
                </c:pt>
                <c:pt idx="43">
                  <c:v>7.0035040288663379E-3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0.31435723466366883</c:v>
                </c:pt>
                <c:pt idx="33">
                  <c:v>0.30956275486493084</c:v>
                </c:pt>
                <c:pt idx="34">
                  <c:v>0.30956306287793295</c:v>
                </c:pt>
                <c:pt idx="35">
                  <c:v>0.30956317619018114</c:v>
                </c:pt>
                <c:pt idx="36">
                  <c:v>0.30956321787551594</c:v>
                </c:pt>
                <c:pt idx="37">
                  <c:v>0.30956323321069823</c:v>
                </c:pt>
                <c:pt idx="38">
                  <c:v>0.30956323885220322</c:v>
                </c:pt>
                <c:pt idx="39">
                  <c:v>0.31435862618948529</c:v>
                </c:pt>
                <c:pt idx="40">
                  <c:v>0.31271540938064668</c:v>
                </c:pt>
                <c:pt idx="41">
                  <c:v>0.3143586261894864</c:v>
                </c:pt>
                <c:pt idx="42">
                  <c:v>0.31271540938064485</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0.61435452162776061</c:v>
                </c:pt>
                <c:pt idx="15">
                  <c:v>0.6142255381274947</c:v>
                </c:pt>
                <c:pt idx="16">
                  <c:v>0.61280074152142616</c:v>
                </c:pt>
                <c:pt idx="17">
                  <c:v>0.61131984023115127</c:v>
                </c:pt>
                <c:pt idx="18">
                  <c:v>0.60732194822225949</c:v>
                </c:pt>
                <c:pt idx="19">
                  <c:v>0.60426796330299615</c:v>
                </c:pt>
                <c:pt idx="20">
                  <c:v>0.60065205043217651</c:v>
                </c:pt>
                <c:pt idx="21">
                  <c:v>0.60325328788514376</c:v>
                </c:pt>
                <c:pt idx="22">
                  <c:v>0.60104399890121873</c:v>
                </c:pt>
                <c:pt idx="23">
                  <c:v>0.59091062712656706</c:v>
                </c:pt>
                <c:pt idx="24">
                  <c:v>0.58971527937671875</c:v>
                </c:pt>
                <c:pt idx="25">
                  <c:v>0.59116663249959733</c:v>
                </c:pt>
                <c:pt idx="26">
                  <c:v>0.59734895357250162</c:v>
                </c:pt>
                <c:pt idx="27">
                  <c:v>0.59734132517966854</c:v>
                </c:pt>
                <c:pt idx="28">
                  <c:v>0.59518858189146129</c:v>
                </c:pt>
                <c:pt idx="29">
                  <c:v>0.59893220000830572</c:v>
                </c:pt>
                <c:pt idx="30">
                  <c:v>0.59893183663811966</c:v>
                </c:pt>
                <c:pt idx="31">
                  <c:v>0.59893170295743703</c:v>
                </c:pt>
                <c:pt idx="32">
                  <c:v>0.59808179676649276</c:v>
                </c:pt>
                <c:pt idx="33">
                  <c:v>0.60015246809342571</c:v>
                </c:pt>
                <c:pt idx="34">
                  <c:v>0.60015246186854088</c:v>
                </c:pt>
                <c:pt idx="35">
                  <c:v>0.58332521699823581</c:v>
                </c:pt>
                <c:pt idx="36">
                  <c:v>0.50908271720216236</c:v>
                </c:pt>
                <c:pt idx="37">
                  <c:v>0.43261665386950526</c:v>
                </c:pt>
                <c:pt idx="38">
                  <c:v>0.37157177078343401</c:v>
                </c:pt>
                <c:pt idx="39">
                  <c:v>0.33207313094453261</c:v>
                </c:pt>
                <c:pt idx="40">
                  <c:v>0.3035364573117843</c:v>
                </c:pt>
                <c:pt idx="41">
                  <c:v>0.23905478418055162</c:v>
                </c:pt>
                <c:pt idx="42">
                  <c:v>0.20370765655306308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0.39914805310518736</c:v>
                </c:pt>
                <c:pt idx="16">
                  <c:v>0.39893063348332297</c:v>
                </c:pt>
                <c:pt idx="17">
                  <c:v>0.39840708409773123</c:v>
                </c:pt>
                <c:pt idx="18">
                  <c:v>0.39881329388760201</c:v>
                </c:pt>
                <c:pt idx="19">
                  <c:v>0.39784553185656368</c:v>
                </c:pt>
                <c:pt idx="20">
                  <c:v>0.40027300865398197</c:v>
                </c:pt>
                <c:pt idx="21">
                  <c:v>0.39712452253247121</c:v>
                </c:pt>
                <c:pt idx="22">
                  <c:v>0.39578735629939632</c:v>
                </c:pt>
                <c:pt idx="23">
                  <c:v>0.39423122447777403</c:v>
                </c:pt>
                <c:pt idx="24">
                  <c:v>0.39381221791523136</c:v>
                </c:pt>
                <c:pt idx="25">
                  <c:v>0.39507969012600463</c:v>
                </c:pt>
                <c:pt idx="26">
                  <c:v>0.39505253093735404</c:v>
                </c:pt>
                <c:pt idx="27">
                  <c:v>0.39505035002626504</c:v>
                </c:pt>
                <c:pt idx="28">
                  <c:v>0.39504954715402985</c:v>
                </c:pt>
                <c:pt idx="29">
                  <c:v>0.39593768979849836</c:v>
                </c:pt>
                <c:pt idx="30">
                  <c:v>0.39593760344172951</c:v>
                </c:pt>
                <c:pt idx="31">
                  <c:v>0.39591037314911481</c:v>
                </c:pt>
                <c:pt idx="32">
                  <c:v>0.38873199991923363</c:v>
                </c:pt>
                <c:pt idx="33">
                  <c:v>0.39732587269390046</c:v>
                </c:pt>
                <c:pt idx="34">
                  <c:v>0.39949493873778169</c:v>
                </c:pt>
                <c:pt idx="35">
                  <c:v>0.39570922427639471</c:v>
                </c:pt>
                <c:pt idx="36">
                  <c:v>0.39570922403709347</c:v>
                </c:pt>
                <c:pt idx="37">
                  <c:v>0.39946467631083982</c:v>
                </c:pt>
                <c:pt idx="38">
                  <c:v>0.39570922391667374</c:v>
                </c:pt>
                <c:pt idx="39">
                  <c:v>0.39732587116868834</c:v>
                </c:pt>
                <c:pt idx="40">
                  <c:v>0.38873197842074669</c:v>
                </c:pt>
                <c:pt idx="41">
                  <c:v>0.38873197842074647</c:v>
                </c:pt>
                <c:pt idx="42">
                  <c:v>0.39591035450976464</c:v>
                </c:pt>
                <c:pt idx="43">
                  <c:v>0.39591035450976447</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1.0135500713496814</c:v>
                </c:pt>
                <c:pt idx="8">
                  <c:v>1.0324522757206152</c:v>
                </c:pt>
                <c:pt idx="9">
                  <c:v>1.0580089611529178</c:v>
                </c:pt>
                <c:pt idx="10">
                  <c:v>1.0849591705282002</c:v>
                </c:pt>
                <c:pt idx="11">
                  <c:v>1.1076633771243394</c:v>
                </c:pt>
                <c:pt idx="12">
                  <c:v>1.1270212037878511</c:v>
                </c:pt>
                <c:pt idx="13">
                  <c:v>1.1441686783758354</c:v>
                </c:pt>
                <c:pt idx="14">
                  <c:v>1.1595392775275835</c:v>
                </c:pt>
                <c:pt idx="15">
                  <c:v>1.1650170261630519</c:v>
                </c:pt>
                <c:pt idx="16">
                  <c:v>1.1703447599776888</c:v>
                </c:pt>
                <c:pt idx="17">
                  <c:v>1.1755749587226199</c:v>
                </c:pt>
                <c:pt idx="18">
                  <c:v>1.1808167216917986</c:v>
                </c:pt>
                <c:pt idx="19">
                  <c:v>1.1862333831595995</c:v>
                </c:pt>
                <c:pt idx="20">
                  <c:v>1.1883029202486735</c:v>
                </c:pt>
                <c:pt idx="21">
                  <c:v>1.189967925633781</c:v>
                </c:pt>
                <c:pt idx="22">
                  <c:v>1.1918234789226325</c:v>
                </c:pt>
                <c:pt idx="23">
                  <c:v>1.1943989466545666</c:v>
                </c:pt>
                <c:pt idx="24">
                  <c:v>1.1986840066095814</c:v>
                </c:pt>
                <c:pt idx="25">
                  <c:v>1.2031579032846609</c:v>
                </c:pt>
                <c:pt idx="26">
                  <c:v>1.2101874192809527</c:v>
                </c:pt>
                <c:pt idx="27">
                  <c:v>1.2228420160616551</c:v>
                </c:pt>
                <c:pt idx="28">
                  <c:v>1.2385088260930064</c:v>
                </c:pt>
                <c:pt idx="29">
                  <c:v>1.2553518065076665</c:v>
                </c:pt>
                <c:pt idx="30">
                  <c:v>1.2657643959867391</c:v>
                </c:pt>
                <c:pt idx="31">
                  <c:v>1.2741422695526343</c:v>
                </c:pt>
                <c:pt idx="32">
                  <c:v>1.2809349983408886</c:v>
                </c:pt>
                <c:pt idx="33">
                  <c:v>1.2870023259781425</c:v>
                </c:pt>
                <c:pt idx="34">
                  <c:v>1.2923442556293125</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1.0007576757565564</c:v>
                </c:pt>
                <c:pt idx="6">
                  <c:v>1.0035858410390641</c:v>
                </c:pt>
                <c:pt idx="7">
                  <c:v>1.0113314440405261</c:v>
                </c:pt>
                <c:pt idx="8">
                  <c:v>1.0256566508471001</c:v>
                </c:pt>
                <c:pt idx="9">
                  <c:v>1.0442530191650314</c:v>
                </c:pt>
                <c:pt idx="10">
                  <c:v>1.0682142234956202</c:v>
                </c:pt>
                <c:pt idx="11">
                  <c:v>1.0901336660678589</c:v>
                </c:pt>
                <c:pt idx="12">
                  <c:v>1.1077204972575547</c:v>
                </c:pt>
                <c:pt idx="13">
                  <c:v>1.1251544508177147</c:v>
                </c:pt>
                <c:pt idx="14">
                  <c:v>1.1411411601303481</c:v>
                </c:pt>
                <c:pt idx="15">
                  <c:v>1.1414909497995229</c:v>
                </c:pt>
                <c:pt idx="16">
                  <c:v>1.1418802298767972</c:v>
                </c:pt>
                <c:pt idx="17">
                  <c:v>1.14329170373565</c:v>
                </c:pt>
                <c:pt idx="18">
                  <c:v>1.1457593466458353</c:v>
                </c:pt>
                <c:pt idx="19">
                  <c:v>1.152842782098634</c:v>
                </c:pt>
                <c:pt idx="20">
                  <c:v>1.1559841499647558</c:v>
                </c:pt>
                <c:pt idx="21">
                  <c:v>1.1584081211833011</c:v>
                </c:pt>
                <c:pt idx="22">
                  <c:v>1.1688885996303833</c:v>
                </c:pt>
                <c:pt idx="23">
                  <c:v>1.1825197492591302</c:v>
                </c:pt>
                <c:pt idx="24">
                  <c:v>1.1938337003543364</c:v>
                </c:pt>
                <c:pt idx="25">
                  <c:v>1.2043331005341968</c:v>
                </c:pt>
                <c:pt idx="26">
                  <c:v>1.2185912154526162</c:v>
                </c:pt>
                <c:pt idx="27">
                  <c:v>1.2401222308436441</c:v>
                </c:pt>
                <c:pt idx="28">
                  <c:v>1.2622405288260043</c:v>
                </c:pt>
                <c:pt idx="29">
                  <c:v>1.2817271021847207</c:v>
                </c:pt>
                <c:pt idx="30">
                  <c:v>1.2961685896621074</c:v>
                </c:pt>
                <c:pt idx="31">
                  <c:v>1.3069114956169749</c:v>
                </c:pt>
                <c:pt idx="32">
                  <c:v>1.318183888344896</c:v>
                </c:pt>
                <c:pt idx="33">
                  <c:v>1.3269434523303549</c:v>
                </c:pt>
                <c:pt idx="34">
                  <c:v>1.3346725677141222</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1.0022446025636242</c:v>
                </c:pt>
                <c:pt idx="7">
                  <c:v>1.006950427323223</c:v>
                </c:pt>
                <c:pt idx="8">
                  <c:v>1.0173209853516469</c:v>
                </c:pt>
                <c:pt idx="9">
                  <c:v>1.0331820708110169</c:v>
                </c:pt>
                <c:pt idx="10">
                  <c:v>1.0582887873653812</c:v>
                </c:pt>
                <c:pt idx="11">
                  <c:v>1.0814068662678809</c:v>
                </c:pt>
                <c:pt idx="12">
                  <c:v>1.0998073454956658</c:v>
                </c:pt>
                <c:pt idx="13">
                  <c:v>1.11478847556495</c:v>
                </c:pt>
                <c:pt idx="14">
                  <c:v>1.1296038569872833</c:v>
                </c:pt>
                <c:pt idx="15">
                  <c:v>1.1320961478602065</c:v>
                </c:pt>
                <c:pt idx="16">
                  <c:v>1.1379926600692314</c:v>
                </c:pt>
                <c:pt idx="17">
                  <c:v>1.140705403862958</c:v>
                </c:pt>
                <c:pt idx="18">
                  <c:v>1.1434464529926909</c:v>
                </c:pt>
                <c:pt idx="19">
                  <c:v>1.1468646145901882</c:v>
                </c:pt>
                <c:pt idx="20">
                  <c:v>1.1473376499458403</c:v>
                </c:pt>
                <c:pt idx="21">
                  <c:v>1.1476652120397794</c:v>
                </c:pt>
                <c:pt idx="22">
                  <c:v>1.1490151387560017</c:v>
                </c:pt>
                <c:pt idx="23">
                  <c:v>1.152151792519768</c:v>
                </c:pt>
                <c:pt idx="24">
                  <c:v>1.1574433615188457</c:v>
                </c:pt>
                <c:pt idx="25">
                  <c:v>1.1635671465023081</c:v>
                </c:pt>
                <c:pt idx="26">
                  <c:v>1.1742680300906811</c:v>
                </c:pt>
                <c:pt idx="27">
                  <c:v>1.1889498942728614</c:v>
                </c:pt>
                <c:pt idx="28">
                  <c:v>1.2056839718740548</c:v>
                </c:pt>
                <c:pt idx="29">
                  <c:v>1.2279948681533195</c:v>
                </c:pt>
                <c:pt idx="30">
                  <c:v>1.2383488948720454</c:v>
                </c:pt>
                <c:pt idx="31">
                  <c:v>1.2435236351514887</c:v>
                </c:pt>
                <c:pt idx="32">
                  <c:v>1.2482561162860253</c:v>
                </c:pt>
                <c:pt idx="33">
                  <c:v>1.2496501930831394</c:v>
                </c:pt>
                <c:pt idx="34">
                  <c:v>1.2520803163415484</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6.5740785776431485</c:v>
                </c:pt>
                <c:pt idx="1">
                  <c:v>6.5897255681426605</c:v>
                </c:pt>
                <c:pt idx="2">
                  <c:v>6.6793678527599676</c:v>
                </c:pt>
                <c:pt idx="3">
                  <c:v>6.7614243906851943</c:v>
                </c:pt>
                <c:pt idx="4">
                  <c:v>6.8703948220978024</c:v>
                </c:pt>
                <c:pt idx="5">
                  <c:v>6.9844806078855131</c:v>
                </c:pt>
                <c:pt idx="6">
                  <c:v>7.1268235859261271</c:v>
                </c:pt>
                <c:pt idx="7">
                  <c:v>7.2596573539994482</c:v>
                </c:pt>
                <c:pt idx="8">
                  <c:v>7.3232479833579154</c:v>
                </c:pt>
                <c:pt idx="9">
                  <c:v>7.3993968431096366</c:v>
                </c:pt>
                <c:pt idx="10">
                  <c:v>7.4035444282344596</c:v>
                </c:pt>
                <c:pt idx="11">
                  <c:v>7.4076920133592798</c:v>
                </c:pt>
                <c:pt idx="12">
                  <c:v>7.411839598484101</c:v>
                </c:pt>
                <c:pt idx="13">
                  <c:v>7.4159871836089231</c:v>
                </c:pt>
                <c:pt idx="14">
                  <c:v>7.4201347687337433</c:v>
                </c:pt>
                <c:pt idx="15">
                  <c:v>7.4242823538585627</c:v>
                </c:pt>
                <c:pt idx="16">
                  <c:v>7.4244190006289514</c:v>
                </c:pt>
                <c:pt idx="17">
                  <c:v>7.4245556473993384</c:v>
                </c:pt>
                <c:pt idx="18">
                  <c:v>7.4246922941697271</c:v>
                </c:pt>
                <c:pt idx="19">
                  <c:v>7.4248289409401158</c:v>
                </c:pt>
                <c:pt idx="20">
                  <c:v>7.4249655877105027</c:v>
                </c:pt>
                <c:pt idx="21">
                  <c:v>7.4251022344808897</c:v>
                </c:pt>
                <c:pt idx="22">
                  <c:v>7.4252388812512784</c:v>
                </c:pt>
                <c:pt idx="23">
                  <c:v>7.4253755280216653</c:v>
                </c:pt>
                <c:pt idx="24">
                  <c:v>7.4255121747920541</c:v>
                </c:pt>
                <c:pt idx="25">
                  <c:v>7.425648821562441</c:v>
                </c:pt>
                <c:pt idx="26">
                  <c:v>7.4257854683328306</c:v>
                </c:pt>
                <c:pt idx="27">
                  <c:v>7.4259221151032184</c:v>
                </c:pt>
                <c:pt idx="28">
                  <c:v>7.4260587618736054</c:v>
                </c:pt>
                <c:pt idx="29">
                  <c:v>7.4261954086439923</c:v>
                </c:pt>
                <c:pt idx="30">
                  <c:v>7.4263320554143801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6.7242512479581897</c:v>
                </c:pt>
                <c:pt idx="2">
                  <c:v>6.9470633713873422</c:v>
                </c:pt>
                <c:pt idx="3">
                  <c:v>7.1605595718966653</c:v>
                </c:pt>
                <c:pt idx="4">
                  <c:v>7.4015589541703397</c:v>
                </c:pt>
                <c:pt idx="5">
                  <c:v>7.6476956459691987</c:v>
                </c:pt>
                <c:pt idx="6">
                  <c:v>7.9249885608497443</c:v>
                </c:pt>
                <c:pt idx="7">
                  <c:v>8.1922290283404546</c:v>
                </c:pt>
                <c:pt idx="8">
                  <c:v>8.3805709435905573</c:v>
                </c:pt>
                <c:pt idx="9">
                  <c:v>8.5816699822997506</c:v>
                </c:pt>
                <c:pt idx="10">
                  <c:v>8.6968437936002569</c:v>
                </c:pt>
                <c:pt idx="11">
                  <c:v>8.7017159059109055</c:v>
                </c:pt>
                <c:pt idx="12">
                  <c:v>8.7065880182215523</c:v>
                </c:pt>
                <c:pt idx="13">
                  <c:v>8.7114601305322008</c:v>
                </c:pt>
                <c:pt idx="14">
                  <c:v>8.7163322428428476</c:v>
                </c:pt>
                <c:pt idx="15">
                  <c:v>8.7212043551534943</c:v>
                </c:pt>
                <c:pt idx="16">
                  <c:v>8.7213648722718133</c:v>
                </c:pt>
                <c:pt idx="17">
                  <c:v>8.7215253893901306</c:v>
                </c:pt>
                <c:pt idx="18">
                  <c:v>8.7216859065084495</c:v>
                </c:pt>
                <c:pt idx="19">
                  <c:v>8.7218464236267685</c:v>
                </c:pt>
                <c:pt idx="20">
                  <c:v>8.7220069407450875</c:v>
                </c:pt>
                <c:pt idx="21">
                  <c:v>8.7221674578634065</c:v>
                </c:pt>
                <c:pt idx="22">
                  <c:v>8.7223279749817255</c:v>
                </c:pt>
                <c:pt idx="23">
                  <c:v>8.7224884921000445</c:v>
                </c:pt>
                <c:pt idx="24">
                  <c:v>8.7226490092183617</c:v>
                </c:pt>
                <c:pt idx="25">
                  <c:v>8.7228095263366807</c:v>
                </c:pt>
                <c:pt idx="26">
                  <c:v>8.7229700434549997</c:v>
                </c:pt>
                <c:pt idx="27">
                  <c:v>8.7231305605733169</c:v>
                </c:pt>
                <c:pt idx="28">
                  <c:v>8.7232910776916359</c:v>
                </c:pt>
                <c:pt idx="29">
                  <c:v>8.7234515948099531</c:v>
                </c:pt>
                <c:pt idx="30">
                  <c:v>8.7236121119282704</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6.7288896628175774</c:v>
                </c:pt>
                <c:pt idx="2">
                  <c:v>6.9567267546333849</c:v>
                </c:pt>
                <c:pt idx="3">
                  <c:v>7.1751830703247723</c:v>
                </c:pt>
                <c:pt idx="4">
                  <c:v>7.4211630177941279</c:v>
                </c:pt>
                <c:pt idx="5">
                  <c:v>7.6722807597141518</c:v>
                </c:pt>
                <c:pt idx="6">
                  <c:v>7.9546623437176862</c:v>
                </c:pt>
                <c:pt idx="7">
                  <c:v>8.2269715978747104</c:v>
                </c:pt>
                <c:pt idx="8">
                  <c:v>8.42002219267337</c:v>
                </c:pt>
                <c:pt idx="9">
                  <c:v>8.6258365790986815</c:v>
                </c:pt>
                <c:pt idx="10">
                  <c:v>8.7452045561759437</c:v>
                </c:pt>
                <c:pt idx="11">
                  <c:v>8.7501037609666099</c:v>
                </c:pt>
                <c:pt idx="12">
                  <c:v>8.7550029657572761</c:v>
                </c:pt>
                <c:pt idx="13">
                  <c:v>8.7599021705479405</c:v>
                </c:pt>
                <c:pt idx="14">
                  <c:v>8.7648013753386049</c:v>
                </c:pt>
                <c:pt idx="15">
                  <c:v>8.7697005801292711</c:v>
                </c:pt>
                <c:pt idx="16">
                  <c:v>8.7698619898392511</c:v>
                </c:pt>
                <c:pt idx="17">
                  <c:v>8.7700233995492312</c:v>
                </c:pt>
                <c:pt idx="18">
                  <c:v>8.7701848092592112</c:v>
                </c:pt>
                <c:pt idx="19">
                  <c:v>8.7703462189691912</c:v>
                </c:pt>
                <c:pt idx="20">
                  <c:v>8.7705076286791712</c:v>
                </c:pt>
                <c:pt idx="21">
                  <c:v>8.7706690383891512</c:v>
                </c:pt>
                <c:pt idx="22">
                  <c:v>8.7708304480991313</c:v>
                </c:pt>
                <c:pt idx="23">
                  <c:v>8.7709918578091095</c:v>
                </c:pt>
                <c:pt idx="24">
                  <c:v>8.7711532675190895</c:v>
                </c:pt>
                <c:pt idx="25">
                  <c:v>8.7713146772290695</c:v>
                </c:pt>
                <c:pt idx="26">
                  <c:v>8.7714760869390478</c:v>
                </c:pt>
                <c:pt idx="27">
                  <c:v>8.7716374966490278</c:v>
                </c:pt>
                <c:pt idx="28">
                  <c:v>8.7717989063590078</c:v>
                </c:pt>
                <c:pt idx="29">
                  <c:v>8.7719603160689879</c:v>
                </c:pt>
                <c:pt idx="30">
                  <c:v>8.7721217257789661</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9.0211576993094784</c:v>
                </c:pt>
                <c:pt idx="12">
                  <c:v>9.2376765011546365</c:v>
                </c:pt>
                <c:pt idx="13">
                  <c:v>9.5157215900136887</c:v>
                </c:pt>
                <c:pt idx="14">
                  <c:v>9.8508641839264293</c:v>
                </c:pt>
                <c:pt idx="15">
                  <c:v>10.214603349325852</c:v>
                </c:pt>
                <c:pt idx="16">
                  <c:v>10.341774254927827</c:v>
                </c:pt>
                <c:pt idx="17">
                  <c:v>10.447002235325282</c:v>
                </c:pt>
                <c:pt idx="18">
                  <c:v>10.593615017242</c:v>
                </c:pt>
                <c:pt idx="19">
                  <c:v>10.742638265529498</c:v>
                </c:pt>
                <c:pt idx="20">
                  <c:v>10.917438137333518</c:v>
                </c:pt>
                <c:pt idx="21">
                  <c:v>11.100343293889329</c:v>
                </c:pt>
                <c:pt idx="22">
                  <c:v>11.326715149764963</c:v>
                </c:pt>
                <c:pt idx="23">
                  <c:v>11.573917344679785</c:v>
                </c:pt>
                <c:pt idx="24">
                  <c:v>11.80578505482714</c:v>
                </c:pt>
                <c:pt idx="25">
                  <c:v>12.009087956313744</c:v>
                </c:pt>
                <c:pt idx="26">
                  <c:v>12.15533887823991</c:v>
                </c:pt>
                <c:pt idx="27">
                  <c:v>12.276039244746778</c:v>
                </c:pt>
                <c:pt idx="28">
                  <c:v>12.379110942873966</c:v>
                </c:pt>
                <c:pt idx="29">
                  <c:v>12.463075577080556</c:v>
                </c:pt>
                <c:pt idx="30">
                  <c:v>12.551284380264724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19.855356954537768</c:v>
                </c:pt>
                <c:pt idx="23">
                  <c:v>19.93549936079982</c:v>
                </c:pt>
                <c:pt idx="24">
                  <c:v>20.015644703282518</c:v>
                </c:pt>
                <c:pt idx="25">
                  <c:v>20.09579298198587</c:v>
                </c:pt>
                <c:pt idx="26">
                  <c:v>20.175944196909864</c:v>
                </c:pt>
                <c:pt idx="27">
                  <c:v>20.256098348054515</c:v>
                </c:pt>
                <c:pt idx="28">
                  <c:v>20.336255435419812</c:v>
                </c:pt>
                <c:pt idx="29">
                  <c:v>20.416415459005755</c:v>
                </c:pt>
                <c:pt idx="30">
                  <c:v>20.496578418812327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10.070013880963067</c:v>
                </c:pt>
                <c:pt idx="17">
                  <c:v>10.173038877074747</c:v>
                </c:pt>
                <c:pt idx="18">
                  <c:v>10.276067658653917</c:v>
                </c:pt>
                <c:pt idx="19">
                  <c:v>10.379100225700572</c:v>
                </c:pt>
                <c:pt idx="20">
                  <c:v>10.482136578214712</c:v>
                </c:pt>
                <c:pt idx="21">
                  <c:v>10.585176716196342</c:v>
                </c:pt>
                <c:pt idx="22">
                  <c:v>10.688220639645456</c:v>
                </c:pt>
                <c:pt idx="23">
                  <c:v>10.791268348562058</c:v>
                </c:pt>
                <c:pt idx="24">
                  <c:v>10.894319842946146</c:v>
                </c:pt>
                <c:pt idx="25">
                  <c:v>10.997375122797722</c:v>
                </c:pt>
                <c:pt idx="26">
                  <c:v>11.100434188116783</c:v>
                </c:pt>
                <c:pt idx="27">
                  <c:v>11.203497038903331</c:v>
                </c:pt>
                <c:pt idx="28">
                  <c:v>11.306563675157365</c:v>
                </c:pt>
                <c:pt idx="29">
                  <c:v>11.409634096878888</c:v>
                </c:pt>
                <c:pt idx="30">
                  <c:v>11.5127083040679</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4.png"/><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145675</xdr:colOff>
      <xdr:row>24</xdr:row>
      <xdr:rowOff>44824</xdr:rowOff>
    </xdr:from>
    <xdr:to>
      <xdr:col>6</xdr:col>
      <xdr:colOff>624843</xdr:colOff>
      <xdr:row>38</xdr:row>
      <xdr:rowOff>133455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7"/>
        <a:stretch>
          <a:fillRect/>
        </a:stretch>
      </xdr:blipFill>
      <xdr:spPr>
        <a:xfrm>
          <a:off x="750793" y="5020236"/>
          <a:ext cx="4188315" cy="2755631"/>
        </a:xfrm>
        <a:prstGeom prst="rect">
          <a:avLst/>
        </a:prstGeom>
      </xdr:spPr>
    </xdr:pic>
    <xdr:clientData/>
  </xdr:twoCellAnchor>
  <xdr:twoCellAnchor editAs="oneCell">
    <xdr:from>
      <xdr:col>7</xdr:col>
      <xdr:colOff>33618</xdr:colOff>
      <xdr:row>24</xdr:row>
      <xdr:rowOff>44824</xdr:rowOff>
    </xdr:from>
    <xdr:to>
      <xdr:col>12</xdr:col>
      <xdr:colOff>565680</xdr:colOff>
      <xdr:row>38</xdr:row>
      <xdr:rowOff>109069</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5042647" y="5020236"/>
          <a:ext cx="4218798" cy="2731245"/>
        </a:xfrm>
        <a:prstGeom prst="rect">
          <a:avLst/>
        </a:prstGeom>
      </xdr:spPr>
    </xdr:pic>
    <xdr:clientData/>
  </xdr:twoCellAnchor>
  <xdr:twoCellAnchor editAs="oneCell">
    <xdr:from>
      <xdr:col>13</xdr:col>
      <xdr:colOff>582707</xdr:colOff>
      <xdr:row>24</xdr:row>
      <xdr:rowOff>44823</xdr:rowOff>
    </xdr:from>
    <xdr:to>
      <xdr:col>19</xdr:col>
      <xdr:colOff>405490</xdr:colOff>
      <xdr:row>38</xdr:row>
      <xdr:rowOff>109068</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9973236" y="5020235"/>
          <a:ext cx="4316342" cy="27312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388681</xdr:colOff>
      <xdr:row>23</xdr:row>
      <xdr:rowOff>166326</xdr:rowOff>
    </xdr:from>
    <xdr:to>
      <xdr:col>7</xdr:col>
      <xdr:colOff>186496</xdr:colOff>
      <xdr:row>41</xdr:row>
      <xdr:rowOff>78919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717657</xdr:colOff>
      <xdr:row>23</xdr:row>
      <xdr:rowOff>85965</xdr:rowOff>
    </xdr:from>
    <xdr:to>
      <xdr:col>20</xdr:col>
      <xdr:colOff>728863</xdr:colOff>
      <xdr:row>40</xdr:row>
      <xdr:rowOff>150958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260616</xdr:colOff>
      <xdr:row>24</xdr:row>
      <xdr:rowOff>22253</xdr:rowOff>
    </xdr:from>
    <xdr:to>
      <xdr:col>13</xdr:col>
      <xdr:colOff>634893</xdr:colOff>
      <xdr:row>41</xdr:row>
      <xdr:rowOff>120864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209550</xdr:colOff>
      <xdr:row>7</xdr:row>
      <xdr:rowOff>285750</xdr:rowOff>
    </xdr:from>
    <xdr:to>
      <xdr:col>12</xdr:col>
      <xdr:colOff>371475</xdr:colOff>
      <xdr:row>22</xdr:row>
      <xdr:rowOff>85725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data/browser/" TargetMode="External"/><Relationship Id="rId1" Type="http://schemas.openxmlformats.org/officeDocument/2006/relationships/hyperlink" Target="https://www.eia.gov/outlooks/aeo/data/browser/"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3"/>
  <sheetViews>
    <sheetView topLeftCell="A10" workbookViewId="0">
      <selection activeCell="D22" sqref="D22"/>
    </sheetView>
  </sheetViews>
  <sheetFormatPr defaultRowHeight="12.75" x14ac:dyDescent="0.2"/>
  <cols>
    <col min="1" max="1" width="9.140625" style="1452"/>
    <col min="2" max="2" width="10.140625" style="1452" bestFit="1" customWidth="1"/>
    <col min="3" max="3" width="15.28515625" style="1452" bestFit="1" customWidth="1"/>
    <col min="4" max="4" width="72.7109375" style="1454" customWidth="1"/>
    <col min="5" max="16384" width="9.140625" style="1452"/>
  </cols>
  <sheetData>
    <row r="2" spans="2:4" x14ac:dyDescent="0.2">
      <c r="B2" s="1450" t="s">
        <v>406</v>
      </c>
    </row>
    <row r="4" spans="2:4" x14ac:dyDescent="0.2">
      <c r="B4" s="1450" t="s">
        <v>397</v>
      </c>
      <c r="C4" s="1450" t="s">
        <v>398</v>
      </c>
      <c r="D4" s="1451" t="s">
        <v>399</v>
      </c>
    </row>
    <row r="5" spans="2:4" x14ac:dyDescent="0.2">
      <c r="B5" s="1453">
        <v>43763</v>
      </c>
      <c r="C5" s="1450" t="s">
        <v>400</v>
      </c>
      <c r="D5" s="1451" t="s">
        <v>430</v>
      </c>
    </row>
    <row r="6" spans="2:4" x14ac:dyDescent="0.2">
      <c r="B6" s="1453">
        <v>43763</v>
      </c>
      <c r="C6" s="1450" t="s">
        <v>401</v>
      </c>
      <c r="D6" s="1451" t="s">
        <v>402</v>
      </c>
    </row>
    <row r="7" spans="2:4" ht="38.25" x14ac:dyDescent="0.2">
      <c r="B7" s="1453">
        <v>43763</v>
      </c>
      <c r="C7" s="1450" t="s">
        <v>403</v>
      </c>
      <c r="D7" s="1451" t="s">
        <v>404</v>
      </c>
    </row>
    <row r="8" spans="2:4" ht="38.25" x14ac:dyDescent="0.2">
      <c r="B8" s="1453">
        <v>43763</v>
      </c>
      <c r="C8" s="1450" t="s">
        <v>393</v>
      </c>
      <c r="D8" s="1451" t="s">
        <v>404</v>
      </c>
    </row>
    <row r="9" spans="2:4" ht="38.25" x14ac:dyDescent="0.2">
      <c r="B9" s="1453">
        <v>43763</v>
      </c>
      <c r="C9" s="1450" t="s">
        <v>405</v>
      </c>
      <c r="D9" s="1451" t="s">
        <v>404</v>
      </c>
    </row>
    <row r="10" spans="2:4" ht="38.25" x14ac:dyDescent="0.2">
      <c r="B10" s="1453">
        <v>43763</v>
      </c>
      <c r="C10" s="1450" t="s">
        <v>407</v>
      </c>
      <c r="D10" s="1451" t="s">
        <v>408</v>
      </c>
    </row>
    <row r="11" spans="2:4" ht="25.5" x14ac:dyDescent="0.2">
      <c r="B11" s="1453">
        <v>43763</v>
      </c>
      <c r="C11" s="1450" t="s">
        <v>403</v>
      </c>
      <c r="D11" s="1451" t="s">
        <v>409</v>
      </c>
    </row>
    <row r="12" spans="2:4" ht="25.5" x14ac:dyDescent="0.2">
      <c r="B12" s="1453">
        <v>43763</v>
      </c>
      <c r="C12" s="1450" t="s">
        <v>393</v>
      </c>
      <c r="D12" s="1451" t="s">
        <v>409</v>
      </c>
    </row>
    <row r="13" spans="2:4" ht="25.5" x14ac:dyDescent="0.2">
      <c r="B13" s="1453">
        <v>43763</v>
      </c>
      <c r="C13" s="1450" t="s">
        <v>405</v>
      </c>
      <c r="D13" s="1451" t="s">
        <v>409</v>
      </c>
    </row>
    <row r="14" spans="2:4" ht="38.25" x14ac:dyDescent="0.2">
      <c r="B14" s="1453">
        <v>43763</v>
      </c>
      <c r="C14" s="1450" t="s">
        <v>400</v>
      </c>
      <c r="D14" s="1451" t="s">
        <v>410</v>
      </c>
    </row>
    <row r="15" spans="2:4" ht="25.5" x14ac:dyDescent="0.2">
      <c r="B15" s="1453">
        <v>43768</v>
      </c>
      <c r="C15" s="1450" t="s">
        <v>418</v>
      </c>
      <c r="D15" s="1451" t="s">
        <v>421</v>
      </c>
    </row>
    <row r="16" spans="2:4" x14ac:dyDescent="0.2">
      <c r="B16" s="1450" t="s">
        <v>420</v>
      </c>
      <c r="C16" s="1450" t="s">
        <v>422</v>
      </c>
      <c r="D16" s="1451" t="s">
        <v>423</v>
      </c>
    </row>
    <row r="17" spans="2:4" x14ac:dyDescent="0.2">
      <c r="B17" s="1453">
        <v>43770</v>
      </c>
      <c r="C17" s="1450" t="s">
        <v>422</v>
      </c>
      <c r="D17" s="1451" t="s">
        <v>427</v>
      </c>
    </row>
    <row r="18" spans="2:4" ht="25.5" x14ac:dyDescent="0.2">
      <c r="B18" s="1470">
        <v>43770</v>
      </c>
      <c r="C18" s="1471" t="s">
        <v>428</v>
      </c>
      <c r="D18" s="1472" t="s">
        <v>429</v>
      </c>
    </row>
    <row r="19" spans="2:4" x14ac:dyDescent="0.2">
      <c r="B19" s="1453">
        <v>43775</v>
      </c>
      <c r="C19" s="1450" t="s">
        <v>418</v>
      </c>
      <c r="D19" s="1451" t="s">
        <v>432</v>
      </c>
    </row>
    <row r="20" spans="2:4" ht="25.5" x14ac:dyDescent="0.2">
      <c r="B20" s="1453">
        <v>43775</v>
      </c>
      <c r="C20" s="1450" t="s">
        <v>428</v>
      </c>
      <c r="D20" s="1451" t="s">
        <v>433</v>
      </c>
    </row>
    <row r="21" spans="2:4" ht="25.5" x14ac:dyDescent="0.2">
      <c r="B21" s="1453">
        <v>43775</v>
      </c>
      <c r="C21" s="1450" t="s">
        <v>407</v>
      </c>
      <c r="D21" s="1451" t="s">
        <v>434</v>
      </c>
    </row>
    <row r="22" spans="2:4" ht="51" x14ac:dyDescent="0.2">
      <c r="B22" s="1453">
        <v>43775</v>
      </c>
      <c r="C22" s="1450" t="s">
        <v>428</v>
      </c>
      <c r="D22" s="1451" t="s">
        <v>435</v>
      </c>
    </row>
    <row r="23" spans="2:4" x14ac:dyDescent="0.2">
      <c r="B23" s="1453">
        <v>43775</v>
      </c>
      <c r="C23" s="1450" t="s">
        <v>438</v>
      </c>
      <c r="D23" s="1451" t="s">
        <v>437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33" sqref="B33"/>
    </sheetView>
  </sheetViews>
  <sheetFormatPr defaultColWidth="9.140625" defaultRowHeight="12.75" x14ac:dyDescent="0.2"/>
  <cols>
    <col min="1" max="1" width="3" style="371" customWidth="1"/>
    <col min="2" max="2" width="120" style="385" customWidth="1"/>
    <col min="3" max="16384" width="9.140625" style="371"/>
  </cols>
  <sheetData>
    <row r="1" spans="1:3" ht="15.75" x14ac:dyDescent="0.25">
      <c r="A1" s="1528" t="s">
        <v>389</v>
      </c>
      <c r="B1" s="1528"/>
    </row>
    <row r="2" spans="1:3" x14ac:dyDescent="0.2">
      <c r="A2" s="1529" t="s">
        <v>388</v>
      </c>
      <c r="B2" s="1530"/>
    </row>
    <row r="3" spans="1:3" x14ac:dyDescent="0.2">
      <c r="A3" s="372"/>
      <c r="B3" s="373"/>
    </row>
    <row r="4" spans="1:3" ht="15" x14ac:dyDescent="0.25">
      <c r="A4" s="374" t="s">
        <v>130</v>
      </c>
      <c r="B4" s="375"/>
    </row>
    <row r="5" spans="1:3" ht="38.25" x14ac:dyDescent="0.2">
      <c r="A5" s="376">
        <v>1</v>
      </c>
      <c r="B5" s="1426" t="s">
        <v>387</v>
      </c>
      <c r="C5" s="394"/>
    </row>
    <row r="6" spans="1:3" x14ac:dyDescent="0.2">
      <c r="A6" s="377">
        <v>2</v>
      </c>
      <c r="B6" s="1427" t="s">
        <v>131</v>
      </c>
    </row>
    <row r="7" spans="1:3" x14ac:dyDescent="0.2">
      <c r="A7" s="377">
        <v>3</v>
      </c>
      <c r="B7" s="1428" t="s">
        <v>132</v>
      </c>
    </row>
    <row r="8" spans="1:3" ht="25.5" x14ac:dyDescent="0.2">
      <c r="A8" s="379"/>
      <c r="B8" s="1427" t="s">
        <v>133</v>
      </c>
    </row>
    <row r="9" spans="1:3" ht="38.25" x14ac:dyDescent="0.2">
      <c r="A9" s="381">
        <v>4</v>
      </c>
      <c r="B9" s="1429" t="s">
        <v>172</v>
      </c>
    </row>
    <row r="10" spans="1:3" x14ac:dyDescent="0.2">
      <c r="A10" s="381">
        <v>5</v>
      </c>
      <c r="B10" s="1429" t="s">
        <v>135</v>
      </c>
    </row>
    <row r="11" spans="1:3" ht="25.5" x14ac:dyDescent="0.2">
      <c r="A11" s="381">
        <v>6</v>
      </c>
      <c r="B11" s="1429" t="s">
        <v>173</v>
      </c>
    </row>
    <row r="12" spans="1:3" ht="25.5" x14ac:dyDescent="0.2">
      <c r="A12" s="381">
        <v>7</v>
      </c>
      <c r="B12" s="1429" t="s">
        <v>150</v>
      </c>
    </row>
    <row r="13" spans="1:3" ht="25.5" x14ac:dyDescent="0.2">
      <c r="A13" s="378">
        <v>8</v>
      </c>
      <c r="B13" s="1430" t="s">
        <v>381</v>
      </c>
    </row>
    <row r="14" spans="1:3" ht="16.5" customHeight="1" x14ac:dyDescent="0.2">
      <c r="A14" s="378"/>
      <c r="B14" s="1430" t="s">
        <v>241</v>
      </c>
    </row>
    <row r="15" spans="1:3" x14ac:dyDescent="0.2">
      <c r="A15" s="378"/>
      <c r="B15" s="1430" t="s">
        <v>242</v>
      </c>
    </row>
    <row r="16" spans="1:3" x14ac:dyDescent="0.2">
      <c r="A16" s="378"/>
      <c r="B16" s="1430" t="s">
        <v>243</v>
      </c>
    </row>
    <row r="17" spans="1:3" x14ac:dyDescent="0.2">
      <c r="A17" s="378"/>
      <c r="B17" s="1430"/>
    </row>
    <row r="18" spans="1:3" x14ac:dyDescent="0.2">
      <c r="A18" s="384"/>
      <c r="B18" s="1431" t="s">
        <v>382</v>
      </c>
    </row>
    <row r="20" spans="1:3" ht="15" x14ac:dyDescent="0.25">
      <c r="A20" s="374" t="s">
        <v>134</v>
      </c>
      <c r="B20" s="375"/>
    </row>
    <row r="21" spans="1:3" ht="18.75" customHeight="1" x14ac:dyDescent="0.2">
      <c r="A21" s="386">
        <v>1</v>
      </c>
      <c r="B21" s="387" t="s">
        <v>136</v>
      </c>
    </row>
    <row r="22" spans="1:3" x14ac:dyDescent="0.2">
      <c r="A22" s="388"/>
      <c r="B22" s="389" t="s">
        <v>147</v>
      </c>
    </row>
    <row r="23" spans="1:3" ht="18.75" customHeight="1" x14ac:dyDescent="0.2">
      <c r="A23" s="386">
        <v>2</v>
      </c>
      <c r="B23" s="387" t="s">
        <v>148</v>
      </c>
      <c r="C23" s="394"/>
    </row>
    <row r="24" spans="1:3" x14ac:dyDescent="0.2">
      <c r="A24" s="390"/>
      <c r="B24" s="425" t="s">
        <v>149</v>
      </c>
    </row>
    <row r="25" spans="1:3" x14ac:dyDescent="0.2">
      <c r="A25" s="390"/>
      <c r="B25" s="424" t="s">
        <v>141</v>
      </c>
    </row>
    <row r="26" spans="1:3" ht="25.5" x14ac:dyDescent="0.2">
      <c r="A26" s="388"/>
      <c r="B26" s="474" t="s">
        <v>142</v>
      </c>
    </row>
    <row r="27" spans="1:3" ht="18.75" customHeight="1" x14ac:dyDescent="0.2">
      <c r="A27" s="386">
        <v>3</v>
      </c>
      <c r="B27" s="387" t="s">
        <v>143</v>
      </c>
    </row>
    <row r="28" spans="1:3" x14ac:dyDescent="0.2">
      <c r="A28" s="390"/>
      <c r="B28" s="383" t="s">
        <v>383</v>
      </c>
    </row>
    <row r="29" spans="1:3" x14ac:dyDescent="0.2">
      <c r="A29" s="390"/>
      <c r="B29" s="424"/>
    </row>
    <row r="30" spans="1:3" x14ac:dyDescent="0.2">
      <c r="A30" s="390"/>
      <c r="B30" s="424" t="s">
        <v>151</v>
      </c>
    </row>
    <row r="31" spans="1:3" x14ac:dyDescent="0.2">
      <c r="A31" s="390"/>
      <c r="B31" s="427" t="s">
        <v>384</v>
      </c>
    </row>
    <row r="32" spans="1:3" x14ac:dyDescent="0.2">
      <c r="A32" s="388"/>
      <c r="B32" s="391"/>
    </row>
    <row r="33" spans="1:2" ht="18.75" customHeight="1" x14ac:dyDescent="0.2">
      <c r="A33" s="386">
        <v>4</v>
      </c>
      <c r="B33" s="387" t="s">
        <v>144</v>
      </c>
    </row>
    <row r="34" spans="1:2" x14ac:dyDescent="0.2">
      <c r="A34" s="390"/>
      <c r="B34" s="382" t="s">
        <v>385</v>
      </c>
    </row>
    <row r="35" spans="1:2" x14ac:dyDescent="0.2">
      <c r="A35" s="390"/>
      <c r="B35" s="382" t="s">
        <v>386</v>
      </c>
    </row>
    <row r="36" spans="1:2" x14ac:dyDescent="0.2">
      <c r="A36" s="390"/>
      <c r="B36" s="380"/>
    </row>
    <row r="37" spans="1:2" x14ac:dyDescent="0.2">
      <c r="A37" s="390"/>
      <c r="B37" s="382"/>
    </row>
    <row r="38" spans="1:2" x14ac:dyDescent="0.2">
      <c r="A38" s="390"/>
      <c r="B38" s="380"/>
    </row>
    <row r="39" spans="1:2" x14ac:dyDescent="0.2">
      <c r="A39" s="388"/>
      <c r="B39" s="392"/>
    </row>
    <row r="40" spans="1:2" ht="18.75" customHeight="1" x14ac:dyDescent="0.2">
      <c r="A40" s="386">
        <v>5</v>
      </c>
      <c r="B40" s="387" t="s">
        <v>145</v>
      </c>
    </row>
    <row r="41" spans="1:2" x14ac:dyDescent="0.2">
      <c r="A41" s="390"/>
      <c r="B41" s="393" t="s">
        <v>146</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C31" sqref="C31"/>
    </sheetView>
  </sheetViews>
  <sheetFormatPr defaultColWidth="9.140625" defaultRowHeight="12.75" x14ac:dyDescent="0.2"/>
  <cols>
    <col min="1" max="1" width="3" style="1022" customWidth="1"/>
    <col min="2" max="2" width="20.28515625" style="1018" customWidth="1"/>
    <col min="3" max="3" width="15.28515625" style="1018" customWidth="1"/>
    <col min="4" max="4" width="18.42578125" style="1018" customWidth="1"/>
    <col min="5" max="5" width="14.85546875" style="1018" customWidth="1"/>
    <col min="6" max="16384" width="9.140625" style="1018"/>
  </cols>
  <sheetData>
    <row r="1" spans="1:7" x14ac:dyDescent="0.2">
      <c r="A1" s="493"/>
      <c r="B1" s="494"/>
      <c r="C1" s="494"/>
      <c r="D1" s="494"/>
      <c r="E1" s="495"/>
    </row>
    <row r="2" spans="1:7" s="1027" customFormat="1" ht="15" x14ac:dyDescent="0.25">
      <c r="A2" s="1023">
        <v>1</v>
      </c>
      <c r="B2" s="1024" t="s">
        <v>115</v>
      </c>
      <c r="C2" s="1024"/>
      <c r="D2" s="1025"/>
      <c r="E2" s="1026"/>
    </row>
    <row r="3" spans="1:7" x14ac:dyDescent="0.2">
      <c r="A3" s="497"/>
      <c r="B3" s="1531" t="s">
        <v>390</v>
      </c>
      <c r="C3" s="1532"/>
      <c r="D3" s="1533"/>
      <c r="E3" s="498"/>
      <c r="F3" s="1019"/>
    </row>
    <row r="4" spans="1:7" x14ac:dyDescent="0.2">
      <c r="A4" s="497"/>
      <c r="B4" s="492"/>
      <c r="C4" s="492"/>
      <c r="D4" s="492"/>
      <c r="E4" s="496"/>
    </row>
    <row r="5" spans="1:7" s="1027" customFormat="1" ht="15" x14ac:dyDescent="0.25">
      <c r="A5" s="1023">
        <v>2</v>
      </c>
      <c r="B5" s="1024" t="s">
        <v>114</v>
      </c>
      <c r="C5" s="1024"/>
      <c r="D5" s="1025"/>
      <c r="E5" s="1026"/>
    </row>
    <row r="6" spans="1:7" x14ac:dyDescent="0.2">
      <c r="A6" s="497"/>
      <c r="B6" s="499" t="s">
        <v>53</v>
      </c>
      <c r="C6" s="1016">
        <v>7.4999999999999997E-2</v>
      </c>
      <c r="D6" s="492"/>
      <c r="E6" s="496"/>
    </row>
    <row r="7" spans="1:7" x14ac:dyDescent="0.2">
      <c r="A7" s="497"/>
      <c r="B7" s="499" t="s">
        <v>54</v>
      </c>
      <c r="C7" s="1017" t="s">
        <v>111</v>
      </c>
      <c r="D7" s="492"/>
      <c r="E7" s="496"/>
    </row>
    <row r="8" spans="1:7" x14ac:dyDescent="0.2">
      <c r="A8" s="497"/>
      <c r="B8" s="500"/>
      <c r="C8" s="500"/>
      <c r="D8" s="500"/>
      <c r="E8" s="501"/>
    </row>
    <row r="9" spans="1:7" s="1027" customFormat="1" ht="15" x14ac:dyDescent="0.25">
      <c r="A9" s="1023">
        <v>3</v>
      </c>
      <c r="B9" s="1028" t="s">
        <v>203</v>
      </c>
      <c r="C9" s="1028"/>
      <c r="D9" s="1025"/>
      <c r="E9" s="1026"/>
    </row>
    <row r="10" spans="1:7" x14ac:dyDescent="0.2">
      <c r="A10" s="497"/>
      <c r="B10" s="492"/>
      <c r="C10" s="492"/>
      <c r="D10" s="492"/>
      <c r="E10" s="496"/>
    </row>
    <row r="11" spans="1:7" x14ac:dyDescent="0.2">
      <c r="A11" s="497"/>
      <c r="B11" s="492"/>
      <c r="C11" s="492"/>
      <c r="D11" s="492"/>
      <c r="E11" s="496"/>
    </row>
    <row r="12" spans="1:7" x14ac:dyDescent="0.2">
      <c r="A12" s="1012"/>
      <c r="B12" s="492"/>
      <c r="C12" s="492"/>
      <c r="D12" s="492"/>
      <c r="E12" s="496"/>
    </row>
    <row r="13" spans="1:7" x14ac:dyDescent="0.2">
      <c r="A13" s="1012"/>
      <c r="B13" s="1010"/>
      <c r="C13" s="492"/>
      <c r="D13" s="502"/>
      <c r="E13" s="496"/>
    </row>
    <row r="14" spans="1:7" x14ac:dyDescent="0.2">
      <c r="A14" s="497"/>
      <c r="B14" s="1010"/>
      <c r="C14" s="499" t="s">
        <v>254</v>
      </c>
      <c r="D14" s="1014">
        <v>43882.765983796293</v>
      </c>
      <c r="E14" s="496"/>
    </row>
    <row r="15" spans="1:7" x14ac:dyDescent="0.2">
      <c r="A15" s="497"/>
      <c r="B15" s="1010"/>
      <c r="C15" s="499" t="s">
        <v>255</v>
      </c>
      <c r="D15" s="1014">
        <v>43882.76599537037</v>
      </c>
      <c r="E15" s="496"/>
      <c r="G15" s="1020"/>
    </row>
    <row r="16" spans="1:7" x14ac:dyDescent="0.2">
      <c r="A16" s="497"/>
      <c r="B16" s="1010"/>
      <c r="C16" s="499" t="s">
        <v>256</v>
      </c>
      <c r="D16" s="1014">
        <v>43882.76599537037</v>
      </c>
      <c r="E16" s="496"/>
      <c r="G16" s="1020"/>
    </row>
    <row r="17" spans="1:7" x14ac:dyDescent="0.2">
      <c r="A17" s="497"/>
      <c r="B17" s="1010"/>
      <c r="C17" s="499" t="s">
        <v>257</v>
      </c>
      <c r="D17" s="1014">
        <v>43882.766006944446</v>
      </c>
      <c r="E17" s="496"/>
      <c r="G17" s="1020"/>
    </row>
    <row r="18" spans="1:7" x14ac:dyDescent="0.2">
      <c r="A18" s="943"/>
      <c r="B18" s="1011"/>
      <c r="C18" s="1013" t="s">
        <v>202</v>
      </c>
      <c r="D18" s="1015">
        <v>43882.766006944446</v>
      </c>
      <c r="E18" s="944"/>
      <c r="G18" s="1020"/>
    </row>
    <row r="19" spans="1:7" x14ac:dyDescent="0.2">
      <c r="A19" s="943"/>
      <c r="B19" s="1011"/>
      <c r="C19" s="1013" t="s">
        <v>201</v>
      </c>
      <c r="D19" s="1015">
        <v>43882.766018518516</v>
      </c>
      <c r="E19" s="944"/>
      <c r="G19" s="1021"/>
    </row>
    <row r="20" spans="1:7" x14ac:dyDescent="0.2">
      <c r="A20" s="942"/>
      <c r="B20" s="945"/>
      <c r="C20" s="945"/>
      <c r="D20" s="945"/>
      <c r="E20" s="946"/>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opLeftCell="A46" zoomScaleNormal="100" workbookViewId="0">
      <selection activeCell="Q69" sqref="Q69"/>
    </sheetView>
  </sheetViews>
  <sheetFormatPr defaultColWidth="9.140625" defaultRowHeight="12.75" x14ac:dyDescent="0.2"/>
  <cols>
    <col min="1" max="1" width="1.5703125" style="517" customWidth="1"/>
    <col min="2" max="2" width="8.28515625" style="517" customWidth="1"/>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ustomWidth="1"/>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250</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9"/>
      <c r="I6" s="703"/>
      <c r="J6" s="1534" t="s">
        <v>76</v>
      </c>
      <c r="K6" s="1535"/>
      <c r="L6" s="1542" t="s">
        <v>83</v>
      </c>
      <c r="M6" s="1535"/>
      <c r="N6" s="1534" t="s">
        <v>109</v>
      </c>
      <c r="O6" s="1535"/>
    </row>
    <row r="7" spans="1:27" ht="27" customHeight="1" thickBot="1" x14ac:dyDescent="0.3">
      <c r="B7" s="526"/>
      <c r="C7" s="702" t="s">
        <v>75</v>
      </c>
      <c r="D7" s="700"/>
      <c r="E7" s="701"/>
      <c r="F7" s="705" t="s">
        <v>217</v>
      </c>
      <c r="G7" s="705" t="s">
        <v>216</v>
      </c>
      <c r="H7" s="940"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9"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1000" t="b">
        <f t="shared" ref="H9:H13" si="0">IF(AND(F9="Electricity",G9="N/A"),TRUE,FALSE)</f>
        <v>0</v>
      </c>
      <c r="I9" s="544">
        <v>2020</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1000" t="b">
        <f t="shared" si="0"/>
        <v>0</v>
      </c>
      <c r="I10" s="544">
        <v>2020</v>
      </c>
      <c r="J10" s="545">
        <v>0</v>
      </c>
      <c r="K10" s="546">
        <v>0.5</v>
      </c>
      <c r="L10" s="547">
        <v>5000</v>
      </c>
      <c r="M10" s="548">
        <v>100</v>
      </c>
      <c r="N10" s="549">
        <v>0</v>
      </c>
      <c r="O10" s="550">
        <v>350</v>
      </c>
    </row>
    <row r="11" spans="1:27" x14ac:dyDescent="0.2">
      <c r="B11" s="614" t="s">
        <v>67</v>
      </c>
      <c r="C11" s="607" t="s">
        <v>332</v>
      </c>
      <c r="D11" s="622"/>
      <c r="E11" s="623"/>
      <c r="F11" s="615" t="s">
        <v>5</v>
      </c>
      <c r="G11" s="615" t="s">
        <v>235</v>
      </c>
      <c r="H11" s="1001" t="b">
        <f t="shared" si="0"/>
        <v>0</v>
      </c>
      <c r="I11" s="544">
        <v>2020</v>
      </c>
      <c r="J11" s="545">
        <v>0</v>
      </c>
      <c r="K11" s="617">
        <v>0.5</v>
      </c>
      <c r="L11" s="618">
        <v>5000</v>
      </c>
      <c r="M11" s="619">
        <v>100</v>
      </c>
      <c r="N11" s="620">
        <v>0</v>
      </c>
      <c r="O11" s="621">
        <v>350</v>
      </c>
      <c r="P11" s="518"/>
    </row>
    <row r="12" spans="1:27" x14ac:dyDescent="0.2">
      <c r="B12" s="614" t="s">
        <v>207</v>
      </c>
      <c r="C12" s="607" t="s">
        <v>333</v>
      </c>
      <c r="D12" s="622"/>
      <c r="E12" s="623"/>
      <c r="F12" s="615" t="s">
        <v>5</v>
      </c>
      <c r="G12" s="615" t="s">
        <v>6</v>
      </c>
      <c r="H12" s="1001" t="b">
        <f t="shared" si="0"/>
        <v>0</v>
      </c>
      <c r="I12" s="544">
        <v>2020</v>
      </c>
      <c r="J12" s="545">
        <v>0</v>
      </c>
      <c r="K12" s="617">
        <v>0.5</v>
      </c>
      <c r="L12" s="618">
        <v>5000</v>
      </c>
      <c r="M12" s="619">
        <v>100</v>
      </c>
      <c r="N12" s="620">
        <v>0</v>
      </c>
      <c r="O12" s="621">
        <v>350</v>
      </c>
    </row>
    <row r="13" spans="1:27" ht="13.5" thickBot="1" x14ac:dyDescent="0.25">
      <c r="B13" s="551" t="s">
        <v>208</v>
      </c>
      <c r="C13" s="610" t="s">
        <v>336</v>
      </c>
      <c r="D13" s="611"/>
      <c r="E13" s="612"/>
      <c r="F13" s="552" t="s">
        <v>209</v>
      </c>
      <c r="G13" s="552" t="s">
        <v>235</v>
      </c>
      <c r="H13" s="1002" t="b">
        <f t="shared" si="0"/>
        <v>0</v>
      </c>
      <c r="I13" s="553">
        <v>2020</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561"/>
      <c r="D15" s="518"/>
      <c r="F15" s="518"/>
    </row>
    <row r="16" spans="1:27" ht="13.5" thickBot="1" x14ac:dyDescent="0.25">
      <c r="B16" s="562"/>
      <c r="C16" s="561"/>
      <c r="D16" s="518"/>
      <c r="F16" s="518"/>
      <c r="T16" s="874" t="s">
        <v>236</v>
      </c>
      <c r="U16" s="517" t="s">
        <v>237</v>
      </c>
      <c r="Z16" s="1007"/>
      <c r="AA16" s="517" t="s">
        <v>271</v>
      </c>
    </row>
    <row r="17" spans="1:31" s="250" customFormat="1" x14ac:dyDescent="0.2">
      <c r="A17" s="3"/>
      <c r="B17" s="249"/>
      <c r="C17" s="251"/>
      <c r="E17" s="2"/>
      <c r="F17" s="3"/>
      <c r="G17" s="5"/>
      <c r="H17" s="6"/>
      <c r="I17" s="938"/>
      <c r="J17" s="938"/>
      <c r="K17" s="6"/>
      <c r="L17" s="6"/>
      <c r="M17" s="6"/>
      <c r="N17" s="6"/>
      <c r="O17" s="6"/>
      <c r="P17" s="6"/>
      <c r="U17" s="517" t="s">
        <v>238</v>
      </c>
      <c r="AA17" s="517" t="s">
        <v>272</v>
      </c>
    </row>
    <row r="18" spans="1:31" s="250" customFormat="1" ht="13.5" thickBot="1" x14ac:dyDescent="0.25">
      <c r="A18" s="3"/>
      <c r="B18" s="248"/>
      <c r="C18" s="247"/>
      <c r="E18" s="2"/>
      <c r="F18" s="247"/>
      <c r="G18" s="5"/>
      <c r="H18" s="6"/>
      <c r="I18" s="938"/>
      <c r="J18" s="938"/>
      <c r="K18" s="6"/>
      <c r="L18" s="6"/>
      <c r="M18" s="6"/>
      <c r="N18" s="6"/>
      <c r="O18" s="6"/>
      <c r="P18" s="6"/>
      <c r="Z18" s="1473" t="s">
        <v>439</v>
      </c>
    </row>
    <row r="19" spans="1:31" ht="16.5" thickBot="1" x14ac:dyDescent="0.3">
      <c r="B19" s="849"/>
      <c r="C19" s="1536" t="s">
        <v>227</v>
      </c>
      <c r="D19" s="1537"/>
      <c r="E19" s="1537"/>
      <c r="F19" s="1537"/>
      <c r="G19" s="1537"/>
      <c r="H19" s="1537"/>
      <c r="I19" s="1537" t="s">
        <v>228</v>
      </c>
      <c r="J19" s="1537"/>
      <c r="K19" s="1537"/>
      <c r="L19" s="1537"/>
      <c r="M19" s="1538"/>
      <c r="N19" s="1539" t="s">
        <v>329</v>
      </c>
      <c r="O19" s="1540"/>
      <c r="P19" s="1540"/>
      <c r="Q19" s="1540"/>
      <c r="R19" s="1540"/>
      <c r="S19" s="1541"/>
      <c r="T19" s="1539" t="s">
        <v>330</v>
      </c>
      <c r="U19" s="1540"/>
      <c r="V19" s="1540"/>
      <c r="W19" s="1540"/>
      <c r="X19" s="1540"/>
      <c r="Y19" s="1541"/>
      <c r="Z19" s="1539" t="s">
        <v>232</v>
      </c>
      <c r="AA19" s="1540"/>
      <c r="AB19" s="1540"/>
      <c r="AC19" s="1540"/>
      <c r="AD19" s="1540"/>
      <c r="AE19" s="1541"/>
    </row>
    <row r="20" spans="1: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4" t="s">
        <v>208</v>
      </c>
      <c r="T20" s="1393"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ht="13.5" thickBot="1" x14ac:dyDescent="0.25">
      <c r="B21" s="865" t="s">
        <v>3</v>
      </c>
      <c r="C21" s="867"/>
      <c r="D21" s="1394" t="str">
        <f>INDEX($C$9:$C$13,MATCH(D20,$B$9:$B$13,0))</f>
        <v>Adv Conv</v>
      </c>
      <c r="E21" s="1394" t="str">
        <f t="shared" ref="E21:H21" si="1">INDEX($C$9:$C$13,MATCH(E20,$B$9:$B$13,0))</f>
        <v>ISG</v>
      </c>
      <c r="F21" s="1394" t="str">
        <f t="shared" si="1"/>
        <v>HEV</v>
      </c>
      <c r="G21" s="1394" t="str">
        <f t="shared" si="1"/>
        <v>PHEV</v>
      </c>
      <c r="H21" s="1395" t="str">
        <f t="shared" si="1"/>
        <v>FCHEV</v>
      </c>
      <c r="I21" s="866">
        <v>0</v>
      </c>
      <c r="J21" s="856">
        <v>0</v>
      </c>
      <c r="K21" s="855">
        <v>0</v>
      </c>
      <c r="L21" s="856">
        <v>0</v>
      </c>
      <c r="M21" s="857">
        <v>0</v>
      </c>
      <c r="N21" s="858"/>
      <c r="O21" s="1394" t="str">
        <f>INDEX($C$9:$C$13,MATCH(O20,$B$9:$B$13,0))</f>
        <v>Adv Conv</v>
      </c>
      <c r="P21" s="1394" t="str">
        <f t="shared" ref="P21:S21" si="2">INDEX($C$9:$C$13,MATCH(P20,$B$9:$B$13,0))</f>
        <v>ISG</v>
      </c>
      <c r="Q21" s="1394" t="str">
        <f t="shared" si="2"/>
        <v>HEV</v>
      </c>
      <c r="R21" s="1394" t="str">
        <f t="shared" si="2"/>
        <v>PHEV</v>
      </c>
      <c r="S21" s="1395" t="str">
        <f t="shared" si="2"/>
        <v>FCHEV</v>
      </c>
      <c r="T21" s="859"/>
      <c r="U21" s="1394" t="str">
        <f>INDEX($C$9:$C$13,MATCH(U20,$B$9:$B$13,0))</f>
        <v>Adv Conv</v>
      </c>
      <c r="V21" s="1394" t="str">
        <f t="shared" ref="V21:Y21" si="3">INDEX($C$9:$C$13,MATCH(V20,$B$9:$B$13,0))</f>
        <v>ISG</v>
      </c>
      <c r="W21" s="1394" t="str">
        <f t="shared" si="3"/>
        <v>HEV</v>
      </c>
      <c r="X21" s="1394" t="str">
        <f t="shared" si="3"/>
        <v>PHEV</v>
      </c>
      <c r="Y21" s="1395" t="str">
        <f t="shared" si="3"/>
        <v>FCHEV</v>
      </c>
      <c r="Z21" s="858"/>
      <c r="AA21" s="1394" t="str">
        <f>INDEX($C$9:$C$13,MATCH(AA20,$B$9:$B$13,0))</f>
        <v>Adv Conv</v>
      </c>
      <c r="AB21" s="1394" t="str">
        <f t="shared" ref="AB21:AE21" si="4">INDEX($C$9:$C$13,MATCH(AB20,$B$9:$B$13,0))</f>
        <v>ISG</v>
      </c>
      <c r="AC21" s="1394" t="str">
        <f t="shared" si="4"/>
        <v>HEV</v>
      </c>
      <c r="AD21" s="1394" t="str">
        <f t="shared" si="4"/>
        <v>PHEV</v>
      </c>
      <c r="AE21" s="1395" t="str">
        <f t="shared" si="4"/>
        <v>FCHEV</v>
      </c>
    </row>
    <row r="22" spans="1:31" x14ac:dyDescent="0.2">
      <c r="B22" s="575">
        <v>2007</v>
      </c>
      <c r="C22" s="593">
        <v>156000</v>
      </c>
      <c r="D22" s="1482">
        <f t="shared" ref="D22:H24" si="5">D23</f>
        <v>1000000</v>
      </c>
      <c r="E22" s="1482">
        <f t="shared" si="5"/>
        <v>1000000</v>
      </c>
      <c r="F22" s="1482">
        <f t="shared" si="5"/>
        <v>1000000</v>
      </c>
      <c r="G22" s="1482">
        <f t="shared" si="5"/>
        <v>1000000</v>
      </c>
      <c r="H22" s="1483">
        <f t="shared" si="5"/>
        <v>1000000</v>
      </c>
      <c r="I22" s="1477">
        <f>D22*I$21</f>
        <v>0</v>
      </c>
      <c r="J22" s="579">
        <f t="shared" ref="J22:K37" si="6">E22*J$21</f>
        <v>0</v>
      </c>
      <c r="K22" s="579">
        <f t="shared" si="6"/>
        <v>0</v>
      </c>
      <c r="L22" s="579">
        <f t="shared" ref="L22:M37" si="7">G22*L$21</f>
        <v>0</v>
      </c>
      <c r="M22" s="1492">
        <f t="shared" si="7"/>
        <v>0</v>
      </c>
      <c r="N22" s="1497">
        <v>5.9278738513698928</v>
      </c>
      <c r="O22" s="1498">
        <f t="shared" ref="O22:W24" si="8">O23</f>
        <v>1</v>
      </c>
      <c r="P22" s="1498">
        <f t="shared" si="8"/>
        <v>1</v>
      </c>
      <c r="Q22" s="1498">
        <f t="shared" si="8"/>
        <v>1</v>
      </c>
      <c r="R22" s="1498">
        <f t="shared" si="8"/>
        <v>1</v>
      </c>
      <c r="S22" s="595">
        <f t="shared" si="8"/>
        <v>1</v>
      </c>
      <c r="T22" s="1512">
        <f t="shared" si="8"/>
        <v>1</v>
      </c>
      <c r="U22" s="1513">
        <f t="shared" si="8"/>
        <v>1</v>
      </c>
      <c r="V22" s="1513">
        <f t="shared" si="8"/>
        <v>1</v>
      </c>
      <c r="W22" s="1513">
        <f t="shared" si="8"/>
        <v>1</v>
      </c>
      <c r="X22" s="1513">
        <f t="shared" ref="X22:AE24" si="9">X23</f>
        <v>1</v>
      </c>
      <c r="Y22" s="592">
        <f t="shared" si="9"/>
        <v>1</v>
      </c>
      <c r="Z22" s="1512">
        <f t="shared" si="9"/>
        <v>0</v>
      </c>
      <c r="AA22" s="1513">
        <f t="shared" si="9"/>
        <v>0</v>
      </c>
      <c r="AB22" s="1513">
        <f t="shared" si="9"/>
        <v>0</v>
      </c>
      <c r="AC22" s="1513">
        <f t="shared" si="9"/>
        <v>0</v>
      </c>
      <c r="AD22" s="1513">
        <f t="shared" si="9"/>
        <v>0</v>
      </c>
      <c r="AE22" s="592">
        <f t="shared" si="9"/>
        <v>0</v>
      </c>
    </row>
    <row r="23" spans="1:31" x14ac:dyDescent="0.2">
      <c r="B23" s="563">
        <v>2008</v>
      </c>
      <c r="C23" s="566">
        <v>156000</v>
      </c>
      <c r="D23" s="1484">
        <f t="shared" si="5"/>
        <v>1000000</v>
      </c>
      <c r="E23" s="1484">
        <f t="shared" si="5"/>
        <v>1000000</v>
      </c>
      <c r="F23" s="1484">
        <f t="shared" si="5"/>
        <v>1000000</v>
      </c>
      <c r="G23" s="1484">
        <f t="shared" si="5"/>
        <v>1000000</v>
      </c>
      <c r="H23" s="1485">
        <f t="shared" si="5"/>
        <v>1000000</v>
      </c>
      <c r="I23" s="1478">
        <f t="shared" ref="I23:I65" si="10">D23*I$21</f>
        <v>0</v>
      </c>
      <c r="J23" s="567">
        <f t="shared" ref="J23:J65" si="11">E23*J$21</f>
        <v>0</v>
      </c>
      <c r="K23" s="567">
        <f t="shared" si="6"/>
        <v>0</v>
      </c>
      <c r="L23" s="567">
        <f t="shared" si="7"/>
        <v>0</v>
      </c>
      <c r="M23" s="1493">
        <f t="shared" si="7"/>
        <v>0</v>
      </c>
      <c r="N23" s="1499">
        <v>5.9278738513698928</v>
      </c>
      <c r="O23" s="1500">
        <f t="shared" si="8"/>
        <v>1</v>
      </c>
      <c r="P23" s="1500">
        <f t="shared" si="8"/>
        <v>1</v>
      </c>
      <c r="Q23" s="1500">
        <f t="shared" si="8"/>
        <v>1</v>
      </c>
      <c r="R23" s="1500">
        <f t="shared" si="8"/>
        <v>1</v>
      </c>
      <c r="S23" s="568">
        <f t="shared" si="8"/>
        <v>1</v>
      </c>
      <c r="T23" s="1514">
        <f t="shared" si="8"/>
        <v>1</v>
      </c>
      <c r="U23" s="1515">
        <f t="shared" si="8"/>
        <v>1</v>
      </c>
      <c r="V23" s="1515">
        <f t="shared" si="8"/>
        <v>1</v>
      </c>
      <c r="W23" s="1515">
        <f t="shared" si="8"/>
        <v>1</v>
      </c>
      <c r="X23" s="1515">
        <f t="shared" si="9"/>
        <v>1</v>
      </c>
      <c r="Y23" s="565">
        <f t="shared" si="9"/>
        <v>1</v>
      </c>
      <c r="Z23" s="1514">
        <f t="shared" si="9"/>
        <v>0</v>
      </c>
      <c r="AA23" s="1515">
        <f t="shared" si="9"/>
        <v>0</v>
      </c>
      <c r="AB23" s="1515">
        <f t="shared" si="9"/>
        <v>0</v>
      </c>
      <c r="AC23" s="1515">
        <f t="shared" si="9"/>
        <v>0</v>
      </c>
      <c r="AD23" s="1515">
        <f t="shared" si="9"/>
        <v>0</v>
      </c>
      <c r="AE23" s="565">
        <f t="shared" si="9"/>
        <v>0</v>
      </c>
    </row>
    <row r="24" spans="1:31" x14ac:dyDescent="0.2">
      <c r="B24" s="563">
        <v>2009</v>
      </c>
      <c r="C24" s="566">
        <v>156000</v>
      </c>
      <c r="D24" s="1484">
        <f t="shared" si="5"/>
        <v>1000000</v>
      </c>
      <c r="E24" s="1484">
        <f t="shared" si="5"/>
        <v>1000000</v>
      </c>
      <c r="F24" s="1484">
        <f t="shared" si="5"/>
        <v>1000000</v>
      </c>
      <c r="G24" s="1484">
        <f t="shared" si="5"/>
        <v>1000000</v>
      </c>
      <c r="H24" s="1485">
        <f t="shared" si="5"/>
        <v>1000000</v>
      </c>
      <c r="I24" s="1478">
        <f t="shared" si="10"/>
        <v>0</v>
      </c>
      <c r="J24" s="567">
        <f t="shared" si="11"/>
        <v>0</v>
      </c>
      <c r="K24" s="567">
        <f t="shared" si="6"/>
        <v>0</v>
      </c>
      <c r="L24" s="567">
        <f t="shared" si="7"/>
        <v>0</v>
      </c>
      <c r="M24" s="1493">
        <f t="shared" si="7"/>
        <v>0</v>
      </c>
      <c r="N24" s="1499">
        <v>5.9278738513698928</v>
      </c>
      <c r="O24" s="1500">
        <f t="shared" si="8"/>
        <v>1</v>
      </c>
      <c r="P24" s="1500">
        <f t="shared" si="8"/>
        <v>1</v>
      </c>
      <c r="Q24" s="1500">
        <f t="shared" si="8"/>
        <v>1</v>
      </c>
      <c r="R24" s="1500">
        <f t="shared" si="8"/>
        <v>1</v>
      </c>
      <c r="S24" s="568">
        <f t="shared" si="8"/>
        <v>1</v>
      </c>
      <c r="T24" s="1514">
        <f t="shared" si="8"/>
        <v>1</v>
      </c>
      <c r="U24" s="1515">
        <f t="shared" si="8"/>
        <v>1</v>
      </c>
      <c r="V24" s="1515">
        <f t="shared" si="8"/>
        <v>1</v>
      </c>
      <c r="W24" s="1515">
        <f t="shared" si="8"/>
        <v>1</v>
      </c>
      <c r="X24" s="1515">
        <f t="shared" si="9"/>
        <v>1</v>
      </c>
      <c r="Y24" s="565">
        <f t="shared" si="9"/>
        <v>1</v>
      </c>
      <c r="Z24" s="1514">
        <f t="shared" si="9"/>
        <v>0</v>
      </c>
      <c r="AA24" s="1515">
        <f t="shared" si="9"/>
        <v>0</v>
      </c>
      <c r="AB24" s="1515">
        <f t="shared" si="9"/>
        <v>0</v>
      </c>
      <c r="AC24" s="1515">
        <f t="shared" si="9"/>
        <v>0</v>
      </c>
      <c r="AD24" s="1515">
        <f t="shared" si="9"/>
        <v>0</v>
      </c>
      <c r="AE24" s="565">
        <f t="shared" si="9"/>
        <v>0</v>
      </c>
    </row>
    <row r="25" spans="1:31" ht="13.5" thickBot="1" x14ac:dyDescent="0.25">
      <c r="B25" s="569">
        <v>2010</v>
      </c>
      <c r="C25" s="572">
        <v>156000</v>
      </c>
      <c r="D25" s="1486">
        <v>1000000</v>
      </c>
      <c r="E25" s="1486">
        <v>1000000</v>
      </c>
      <c r="F25" s="1486">
        <v>1000000</v>
      </c>
      <c r="G25" s="1486">
        <v>1000000</v>
      </c>
      <c r="H25" s="1487">
        <v>1000000</v>
      </c>
      <c r="I25" s="1479">
        <f t="shared" si="10"/>
        <v>0</v>
      </c>
      <c r="J25" s="573">
        <f t="shared" si="11"/>
        <v>0</v>
      </c>
      <c r="K25" s="573">
        <f t="shared" si="6"/>
        <v>0</v>
      </c>
      <c r="L25" s="573">
        <f t="shared" si="7"/>
        <v>0</v>
      </c>
      <c r="M25" s="1494">
        <f t="shared" si="7"/>
        <v>0</v>
      </c>
      <c r="N25" s="1501">
        <v>5.926980775200688</v>
      </c>
      <c r="O25" s="1502">
        <v>1</v>
      </c>
      <c r="P25" s="1502">
        <v>1</v>
      </c>
      <c r="Q25" s="1502">
        <v>1</v>
      </c>
      <c r="R25" s="1502">
        <v>1</v>
      </c>
      <c r="S25" s="574">
        <v>1</v>
      </c>
      <c r="T25" s="1516">
        <v>1</v>
      </c>
      <c r="U25" s="1517">
        <v>1</v>
      </c>
      <c r="V25" s="1517">
        <v>1</v>
      </c>
      <c r="W25" s="1517">
        <v>1</v>
      </c>
      <c r="X25" s="1517">
        <v>1</v>
      </c>
      <c r="Y25" s="571">
        <v>1</v>
      </c>
      <c r="Z25" s="1516">
        <v>0</v>
      </c>
      <c r="AA25" s="1517">
        <v>0</v>
      </c>
      <c r="AB25" s="1517">
        <v>0</v>
      </c>
      <c r="AC25" s="1517">
        <v>0</v>
      </c>
      <c r="AD25" s="1517">
        <v>0</v>
      </c>
      <c r="AE25" s="571">
        <v>0</v>
      </c>
    </row>
    <row r="26" spans="1:31" x14ac:dyDescent="0.2">
      <c r="B26" s="575">
        <v>2011</v>
      </c>
      <c r="C26" s="578">
        <v>156000</v>
      </c>
      <c r="D26" s="1488">
        <v>1000000</v>
      </c>
      <c r="E26" s="1488">
        <v>1000000</v>
      </c>
      <c r="F26" s="1488">
        <v>1000000</v>
      </c>
      <c r="G26" s="1488">
        <v>1000000</v>
      </c>
      <c r="H26" s="1489">
        <v>1000000</v>
      </c>
      <c r="I26" s="1477">
        <f t="shared" si="10"/>
        <v>0</v>
      </c>
      <c r="J26" s="579">
        <f t="shared" si="11"/>
        <v>0</v>
      </c>
      <c r="K26" s="579">
        <f t="shared" si="6"/>
        <v>0</v>
      </c>
      <c r="L26" s="579">
        <f t="shared" si="7"/>
        <v>0</v>
      </c>
      <c r="M26" s="1492">
        <f t="shared" si="7"/>
        <v>0</v>
      </c>
      <c r="N26" s="1503">
        <v>6.0443538760928863</v>
      </c>
      <c r="O26" s="1504">
        <v>1</v>
      </c>
      <c r="P26" s="1504">
        <v>1</v>
      </c>
      <c r="Q26" s="1504">
        <v>1</v>
      </c>
      <c r="R26" s="1504">
        <v>1</v>
      </c>
      <c r="S26" s="580">
        <v>1</v>
      </c>
      <c r="T26" s="1518">
        <v>1</v>
      </c>
      <c r="U26" s="1519">
        <v>1</v>
      </c>
      <c r="V26" s="1519">
        <v>1</v>
      </c>
      <c r="W26" s="1519">
        <v>1</v>
      </c>
      <c r="X26" s="1519">
        <v>1</v>
      </c>
      <c r="Y26" s="577">
        <v>1</v>
      </c>
      <c r="Z26" s="1518">
        <v>0</v>
      </c>
      <c r="AA26" s="1519">
        <v>0</v>
      </c>
      <c r="AB26" s="1519">
        <v>0</v>
      </c>
      <c r="AC26" s="1519">
        <v>0</v>
      </c>
      <c r="AD26" s="1519">
        <v>0</v>
      </c>
      <c r="AE26" s="577">
        <v>0</v>
      </c>
    </row>
    <row r="27" spans="1:31" x14ac:dyDescent="0.2">
      <c r="B27" s="563">
        <v>2012</v>
      </c>
      <c r="C27" s="566">
        <v>156000</v>
      </c>
      <c r="D27" s="1484">
        <v>1000000</v>
      </c>
      <c r="E27" s="1484">
        <v>1000000</v>
      </c>
      <c r="F27" s="1484">
        <v>1000000</v>
      </c>
      <c r="G27" s="1484">
        <v>1000000</v>
      </c>
      <c r="H27" s="1485">
        <v>1000000</v>
      </c>
      <c r="I27" s="1478">
        <f t="shared" si="10"/>
        <v>0</v>
      </c>
      <c r="J27" s="567">
        <f t="shared" si="11"/>
        <v>0</v>
      </c>
      <c r="K27" s="567">
        <f t="shared" si="6"/>
        <v>0</v>
      </c>
      <c r="L27" s="567">
        <f t="shared" si="7"/>
        <v>0</v>
      </c>
      <c r="M27" s="1493">
        <f t="shared" si="7"/>
        <v>0</v>
      </c>
      <c r="N27" s="1499">
        <v>6.0926290216893007</v>
      </c>
      <c r="O27" s="1500">
        <v>1</v>
      </c>
      <c r="P27" s="1500">
        <v>1</v>
      </c>
      <c r="Q27" s="1500">
        <v>1</v>
      </c>
      <c r="R27" s="1500">
        <v>1</v>
      </c>
      <c r="S27" s="568">
        <v>1</v>
      </c>
      <c r="T27" s="1514">
        <v>1</v>
      </c>
      <c r="U27" s="1515">
        <v>1</v>
      </c>
      <c r="V27" s="1515">
        <v>1</v>
      </c>
      <c r="W27" s="1515">
        <v>1</v>
      </c>
      <c r="X27" s="1515">
        <v>1</v>
      </c>
      <c r="Y27" s="565">
        <v>1</v>
      </c>
      <c r="Z27" s="1514">
        <v>0</v>
      </c>
      <c r="AA27" s="1515">
        <v>0</v>
      </c>
      <c r="AB27" s="1515">
        <v>0</v>
      </c>
      <c r="AC27" s="1515">
        <v>0</v>
      </c>
      <c r="AD27" s="1515">
        <v>0</v>
      </c>
      <c r="AE27" s="565">
        <v>0</v>
      </c>
    </row>
    <row r="28" spans="1:31" x14ac:dyDescent="0.2">
      <c r="B28" s="563">
        <v>2013</v>
      </c>
      <c r="C28" s="566">
        <v>156000</v>
      </c>
      <c r="D28" s="1484">
        <v>1000000</v>
      </c>
      <c r="E28" s="1484">
        <v>1000000</v>
      </c>
      <c r="F28" s="1484">
        <v>1000000</v>
      </c>
      <c r="G28" s="1484">
        <v>1000000</v>
      </c>
      <c r="H28" s="1485">
        <v>1000000</v>
      </c>
      <c r="I28" s="1478">
        <f t="shared" si="10"/>
        <v>0</v>
      </c>
      <c r="J28" s="567">
        <f t="shared" si="11"/>
        <v>0</v>
      </c>
      <c r="K28" s="567">
        <f t="shared" si="6"/>
        <v>0</v>
      </c>
      <c r="L28" s="567">
        <f t="shared" si="7"/>
        <v>0</v>
      </c>
      <c r="M28" s="1493">
        <f t="shared" si="7"/>
        <v>0</v>
      </c>
      <c r="N28" s="1499">
        <v>6.2083423993781972</v>
      </c>
      <c r="O28" s="1500">
        <v>1</v>
      </c>
      <c r="P28" s="1500">
        <v>1</v>
      </c>
      <c r="Q28" s="1500">
        <v>1</v>
      </c>
      <c r="R28" s="1500">
        <v>1</v>
      </c>
      <c r="S28" s="568">
        <v>1</v>
      </c>
      <c r="T28" s="1514">
        <v>1</v>
      </c>
      <c r="U28" s="1515">
        <v>1</v>
      </c>
      <c r="V28" s="1515">
        <v>1</v>
      </c>
      <c r="W28" s="1515">
        <v>1</v>
      </c>
      <c r="X28" s="1515">
        <v>1</v>
      </c>
      <c r="Y28" s="565">
        <v>1</v>
      </c>
      <c r="Z28" s="1514">
        <v>0</v>
      </c>
      <c r="AA28" s="1515">
        <v>0</v>
      </c>
      <c r="AB28" s="1515">
        <v>0</v>
      </c>
      <c r="AC28" s="1515">
        <v>0</v>
      </c>
      <c r="AD28" s="1515">
        <v>0</v>
      </c>
      <c r="AE28" s="565">
        <v>0</v>
      </c>
    </row>
    <row r="29" spans="1:31" x14ac:dyDescent="0.2">
      <c r="B29" s="563">
        <v>2014</v>
      </c>
      <c r="C29" s="566">
        <v>156000</v>
      </c>
      <c r="D29" s="1484">
        <v>1000000</v>
      </c>
      <c r="E29" s="1484">
        <v>1000000</v>
      </c>
      <c r="F29" s="1484">
        <v>1000000</v>
      </c>
      <c r="G29" s="1484">
        <v>1000000</v>
      </c>
      <c r="H29" s="1485">
        <v>1000000</v>
      </c>
      <c r="I29" s="1478">
        <f t="shared" si="10"/>
        <v>0</v>
      </c>
      <c r="J29" s="567">
        <f t="shared" si="11"/>
        <v>0</v>
      </c>
      <c r="K29" s="567">
        <f t="shared" si="6"/>
        <v>0</v>
      </c>
      <c r="L29" s="567">
        <f t="shared" si="7"/>
        <v>0</v>
      </c>
      <c r="M29" s="1493">
        <f t="shared" si="7"/>
        <v>0</v>
      </c>
      <c r="N29" s="1499">
        <v>6.3524463187571243</v>
      </c>
      <c r="O29" s="1500">
        <v>1</v>
      </c>
      <c r="P29" s="1500">
        <v>1</v>
      </c>
      <c r="Q29" s="1500">
        <v>1</v>
      </c>
      <c r="R29" s="1500">
        <v>1</v>
      </c>
      <c r="S29" s="568">
        <v>1</v>
      </c>
      <c r="T29" s="1514">
        <v>1</v>
      </c>
      <c r="U29" s="1515">
        <v>1</v>
      </c>
      <c r="V29" s="1515">
        <v>1</v>
      </c>
      <c r="W29" s="1515">
        <v>1</v>
      </c>
      <c r="X29" s="1515">
        <v>1</v>
      </c>
      <c r="Y29" s="565">
        <v>1</v>
      </c>
      <c r="Z29" s="1514">
        <v>0</v>
      </c>
      <c r="AA29" s="1515">
        <v>0</v>
      </c>
      <c r="AB29" s="1515">
        <v>0</v>
      </c>
      <c r="AC29" s="1515">
        <v>0</v>
      </c>
      <c r="AD29" s="1515">
        <v>0</v>
      </c>
      <c r="AE29" s="565">
        <v>0</v>
      </c>
    </row>
    <row r="30" spans="1:31" ht="13.5" thickBot="1" x14ac:dyDescent="0.25">
      <c r="B30" s="569">
        <v>2015</v>
      </c>
      <c r="C30" s="572">
        <v>156000</v>
      </c>
      <c r="D30" s="1486">
        <v>1000000</v>
      </c>
      <c r="E30" s="1486">
        <v>1000000</v>
      </c>
      <c r="F30" s="1486">
        <v>1000000</v>
      </c>
      <c r="G30" s="1486">
        <v>1000000</v>
      </c>
      <c r="H30" s="1487">
        <v>1000000</v>
      </c>
      <c r="I30" s="1479">
        <f t="shared" si="10"/>
        <v>0</v>
      </c>
      <c r="J30" s="573">
        <f t="shared" si="11"/>
        <v>0</v>
      </c>
      <c r="K30" s="573">
        <f t="shared" si="6"/>
        <v>0</v>
      </c>
      <c r="L30" s="573">
        <f t="shared" si="7"/>
        <v>0</v>
      </c>
      <c r="M30" s="1494">
        <f t="shared" si="7"/>
        <v>0</v>
      </c>
      <c r="N30" s="1501">
        <v>6.5640435235508923</v>
      </c>
      <c r="O30" s="1502">
        <v>1</v>
      </c>
      <c r="P30" s="1502">
        <v>1</v>
      </c>
      <c r="Q30" s="1505">
        <v>1</v>
      </c>
      <c r="R30" s="1505">
        <v>1</v>
      </c>
      <c r="S30" s="581">
        <v>1</v>
      </c>
      <c r="T30" s="1516">
        <v>1</v>
      </c>
      <c r="U30" s="1517">
        <v>1</v>
      </c>
      <c r="V30" s="1517">
        <v>1</v>
      </c>
      <c r="W30" s="1517">
        <v>1</v>
      </c>
      <c r="X30" s="1517">
        <v>1</v>
      </c>
      <c r="Y30" s="571">
        <v>1</v>
      </c>
      <c r="Z30" s="1516">
        <v>0</v>
      </c>
      <c r="AA30" s="1517">
        <v>0</v>
      </c>
      <c r="AB30" s="1517">
        <v>0</v>
      </c>
      <c r="AC30" s="1517">
        <v>0</v>
      </c>
      <c r="AD30" s="1517">
        <v>0</v>
      </c>
      <c r="AE30" s="571">
        <v>0</v>
      </c>
    </row>
    <row r="31" spans="1:31" x14ac:dyDescent="0.2">
      <c r="B31" s="575">
        <v>2016</v>
      </c>
      <c r="C31" s="578">
        <v>156000</v>
      </c>
      <c r="D31" s="1488">
        <v>1000000</v>
      </c>
      <c r="E31" s="1488">
        <v>1000000</v>
      </c>
      <c r="F31" s="1488">
        <v>1000000</v>
      </c>
      <c r="G31" s="1488">
        <v>1000000</v>
      </c>
      <c r="H31" s="1489">
        <v>1000000</v>
      </c>
      <c r="I31" s="1477">
        <f t="shared" si="10"/>
        <v>0</v>
      </c>
      <c r="J31" s="579">
        <f t="shared" si="11"/>
        <v>0</v>
      </c>
      <c r="K31" s="579">
        <f t="shared" si="6"/>
        <v>0</v>
      </c>
      <c r="L31" s="579">
        <f t="shared" si="7"/>
        <v>0</v>
      </c>
      <c r="M31" s="1492">
        <f t="shared" si="7"/>
        <v>0</v>
      </c>
      <c r="N31" s="1503">
        <v>6.7578987621151159</v>
      </c>
      <c r="O31" s="1500">
        <v>1</v>
      </c>
      <c r="P31" s="1500">
        <v>1</v>
      </c>
      <c r="Q31" s="1506">
        <v>1</v>
      </c>
      <c r="R31" s="1506">
        <v>1</v>
      </c>
      <c r="S31" s="582">
        <v>1</v>
      </c>
      <c r="T31" s="1518">
        <v>1</v>
      </c>
      <c r="U31" s="1519">
        <v>1</v>
      </c>
      <c r="V31" s="1519">
        <v>1</v>
      </c>
      <c r="W31" s="1519">
        <v>1</v>
      </c>
      <c r="X31" s="1519">
        <v>1</v>
      </c>
      <c r="Y31" s="577">
        <v>1</v>
      </c>
      <c r="Z31" s="1518">
        <v>0</v>
      </c>
      <c r="AA31" s="1519">
        <v>0</v>
      </c>
      <c r="AB31" s="1519">
        <v>0</v>
      </c>
      <c r="AC31" s="1519">
        <v>0</v>
      </c>
      <c r="AD31" s="1519">
        <v>0</v>
      </c>
      <c r="AE31" s="577">
        <v>0</v>
      </c>
    </row>
    <row r="32" spans="1:31" x14ac:dyDescent="0.2">
      <c r="B32" s="563">
        <v>2017</v>
      </c>
      <c r="C32" s="566">
        <v>156000</v>
      </c>
      <c r="D32" s="1484">
        <v>1000000</v>
      </c>
      <c r="E32" s="1484">
        <v>1000000</v>
      </c>
      <c r="F32" s="1484">
        <v>1000000</v>
      </c>
      <c r="G32" s="1484">
        <v>1000000</v>
      </c>
      <c r="H32" s="1485">
        <v>1000000</v>
      </c>
      <c r="I32" s="1478">
        <f t="shared" si="10"/>
        <v>0</v>
      </c>
      <c r="J32" s="567">
        <f t="shared" si="11"/>
        <v>0</v>
      </c>
      <c r="K32" s="567">
        <f t="shared" si="6"/>
        <v>0</v>
      </c>
      <c r="L32" s="567">
        <f t="shared" si="7"/>
        <v>0</v>
      </c>
      <c r="M32" s="1493">
        <f t="shared" si="7"/>
        <v>0</v>
      </c>
      <c r="N32" s="1499">
        <v>6.9778255348470379</v>
      </c>
      <c r="O32" s="1500">
        <v>1</v>
      </c>
      <c r="P32" s="1500">
        <v>1</v>
      </c>
      <c r="Q32" s="1506">
        <v>1</v>
      </c>
      <c r="R32" s="1506">
        <v>1</v>
      </c>
      <c r="S32" s="582">
        <v>1</v>
      </c>
      <c r="T32" s="1514">
        <v>1</v>
      </c>
      <c r="U32" s="1515">
        <v>1</v>
      </c>
      <c r="V32" s="1515">
        <v>1</v>
      </c>
      <c r="W32" s="1515">
        <v>1</v>
      </c>
      <c r="X32" s="1515">
        <v>1</v>
      </c>
      <c r="Y32" s="565">
        <v>1</v>
      </c>
      <c r="Z32" s="1514">
        <v>0</v>
      </c>
      <c r="AA32" s="1515">
        <v>0</v>
      </c>
      <c r="AB32" s="1515">
        <v>0</v>
      </c>
      <c r="AC32" s="1515">
        <v>0</v>
      </c>
      <c r="AD32" s="1515">
        <v>0</v>
      </c>
      <c r="AE32" s="565">
        <v>0</v>
      </c>
    </row>
    <row r="33" spans="2:80" x14ac:dyDescent="0.2">
      <c r="B33" s="563">
        <v>2018</v>
      </c>
      <c r="C33" s="566">
        <v>156000</v>
      </c>
      <c r="D33" s="1484">
        <v>1000000</v>
      </c>
      <c r="E33" s="1484">
        <v>1000000</v>
      </c>
      <c r="F33" s="1484">
        <v>1000000</v>
      </c>
      <c r="G33" s="1484">
        <v>1000000</v>
      </c>
      <c r="H33" s="1485">
        <v>1000000</v>
      </c>
      <c r="I33" s="1478">
        <f t="shared" si="10"/>
        <v>0</v>
      </c>
      <c r="J33" s="567">
        <f t="shared" si="11"/>
        <v>0</v>
      </c>
      <c r="K33" s="567">
        <f t="shared" si="6"/>
        <v>0</v>
      </c>
      <c r="L33" s="567">
        <f t="shared" si="7"/>
        <v>0</v>
      </c>
      <c r="M33" s="1493">
        <f t="shared" si="7"/>
        <v>0</v>
      </c>
      <c r="N33" s="1499">
        <v>7.1810998265871024</v>
      </c>
      <c r="O33" s="1500">
        <v>1</v>
      </c>
      <c r="P33" s="1500">
        <v>1</v>
      </c>
      <c r="Q33" s="1506">
        <v>1</v>
      </c>
      <c r="R33" s="1506">
        <v>1</v>
      </c>
      <c r="S33" s="582">
        <v>1</v>
      </c>
      <c r="T33" s="1514">
        <v>1</v>
      </c>
      <c r="U33" s="1515">
        <v>1</v>
      </c>
      <c r="V33" s="1515">
        <v>1</v>
      </c>
      <c r="W33" s="1515">
        <v>1</v>
      </c>
      <c r="X33" s="1515">
        <v>1</v>
      </c>
      <c r="Y33" s="565">
        <v>1</v>
      </c>
      <c r="Z33" s="1514">
        <v>0</v>
      </c>
      <c r="AA33" s="1515">
        <v>0</v>
      </c>
      <c r="AB33" s="1515">
        <v>0</v>
      </c>
      <c r="AC33" s="1515">
        <v>0</v>
      </c>
      <c r="AD33" s="1515">
        <v>0</v>
      </c>
      <c r="AE33" s="565">
        <v>0</v>
      </c>
    </row>
    <row r="34" spans="2:80" x14ac:dyDescent="0.2">
      <c r="B34" s="563">
        <v>2019</v>
      </c>
      <c r="C34" s="566">
        <v>156000</v>
      </c>
      <c r="D34" s="1484">
        <v>1000000</v>
      </c>
      <c r="E34" s="1484">
        <v>1000000</v>
      </c>
      <c r="F34" s="1484">
        <v>1000000</v>
      </c>
      <c r="G34" s="1484">
        <v>1000000</v>
      </c>
      <c r="H34" s="1485">
        <v>1000000</v>
      </c>
      <c r="I34" s="1478">
        <f t="shared" si="10"/>
        <v>0</v>
      </c>
      <c r="J34" s="567">
        <f t="shared" si="11"/>
        <v>0</v>
      </c>
      <c r="K34" s="567">
        <f t="shared" si="6"/>
        <v>0</v>
      </c>
      <c r="L34" s="567">
        <f t="shared" si="7"/>
        <v>0</v>
      </c>
      <c r="M34" s="1493">
        <f t="shared" si="7"/>
        <v>0</v>
      </c>
      <c r="N34" s="1499">
        <v>7.2268959185188635</v>
      </c>
      <c r="O34" s="1500">
        <v>1</v>
      </c>
      <c r="P34" s="1500">
        <v>1</v>
      </c>
      <c r="Q34" s="1506">
        <v>1</v>
      </c>
      <c r="R34" s="1506">
        <v>1</v>
      </c>
      <c r="S34" s="582">
        <v>1</v>
      </c>
      <c r="T34" s="1514">
        <v>1</v>
      </c>
      <c r="U34" s="1515">
        <v>1</v>
      </c>
      <c r="V34" s="1515">
        <v>1</v>
      </c>
      <c r="W34" s="1515">
        <v>1</v>
      </c>
      <c r="X34" s="1515">
        <v>1</v>
      </c>
      <c r="Y34" s="565">
        <v>1</v>
      </c>
      <c r="Z34" s="1514">
        <v>0</v>
      </c>
      <c r="AA34" s="1515">
        <v>0</v>
      </c>
      <c r="AB34" s="1515">
        <v>0</v>
      </c>
      <c r="AC34" s="1515">
        <v>0</v>
      </c>
      <c r="AD34" s="1515">
        <v>0</v>
      </c>
      <c r="AE34" s="565">
        <v>0</v>
      </c>
      <c r="BP34"/>
      <c r="BQ34"/>
      <c r="BR34"/>
      <c r="BS34"/>
      <c r="BT34"/>
      <c r="BU34"/>
      <c r="BV34"/>
      <c r="BW34"/>
      <c r="BX34"/>
      <c r="BY34"/>
      <c r="BZ34"/>
      <c r="CA34"/>
      <c r="CB34"/>
    </row>
    <row r="35" spans="2:80" ht="13.5" thickBot="1" x14ac:dyDescent="0.25">
      <c r="B35" s="569">
        <v>2020</v>
      </c>
      <c r="C35" s="572">
        <v>156000</v>
      </c>
      <c r="D35" s="1486">
        <v>1000000</v>
      </c>
      <c r="E35" s="1486">
        <v>1000000</v>
      </c>
      <c r="F35" s="1486">
        <v>1000000</v>
      </c>
      <c r="G35" s="1486">
        <v>1000000</v>
      </c>
      <c r="H35" s="1487">
        <v>1000000</v>
      </c>
      <c r="I35" s="1479">
        <f t="shared" si="10"/>
        <v>0</v>
      </c>
      <c r="J35" s="573">
        <f t="shared" si="11"/>
        <v>0</v>
      </c>
      <c r="K35" s="573">
        <f t="shared" si="6"/>
        <v>0</v>
      </c>
      <c r="L35" s="573">
        <f t="shared" si="7"/>
        <v>0</v>
      </c>
      <c r="M35" s="1494">
        <f t="shared" si="7"/>
        <v>0</v>
      </c>
      <c r="N35" s="1501">
        <v>7.2892680928012563</v>
      </c>
      <c r="O35" s="1507">
        <v>1</v>
      </c>
      <c r="P35" s="1507">
        <v>1</v>
      </c>
      <c r="Q35" s="1508">
        <v>1</v>
      </c>
      <c r="R35" s="1508">
        <v>1</v>
      </c>
      <c r="S35" s="1396">
        <v>1</v>
      </c>
      <c r="T35" s="1516">
        <v>1</v>
      </c>
      <c r="U35" s="1517">
        <v>1</v>
      </c>
      <c r="V35" s="1517">
        <v>1</v>
      </c>
      <c r="W35" s="1517">
        <v>1</v>
      </c>
      <c r="X35" s="1517">
        <v>1</v>
      </c>
      <c r="Y35" s="571">
        <v>1</v>
      </c>
      <c r="Z35" s="1516">
        <v>0</v>
      </c>
      <c r="AA35" s="1517">
        <v>0</v>
      </c>
      <c r="AB35" s="1517">
        <v>0</v>
      </c>
      <c r="AC35" s="1517">
        <v>0</v>
      </c>
      <c r="AD35" s="1517">
        <v>0</v>
      </c>
      <c r="AE35" s="571">
        <v>0</v>
      </c>
      <c r="AF35" s="517">
        <v>7.2892680928012563</v>
      </c>
      <c r="BP35">
        <f>AF35/N35</f>
        <v>1</v>
      </c>
      <c r="BQ35"/>
      <c r="BR35"/>
      <c r="BS35"/>
      <c r="BT35"/>
      <c r="BU35"/>
      <c r="BV35"/>
      <c r="BW35"/>
      <c r="BX35"/>
      <c r="BY35"/>
      <c r="BZ35"/>
      <c r="CA35"/>
      <c r="CB35"/>
    </row>
    <row r="36" spans="2:80" x14ac:dyDescent="0.2">
      <c r="B36" s="575">
        <v>2021</v>
      </c>
      <c r="C36" s="578">
        <v>156551.27371701796</v>
      </c>
      <c r="D36" s="1488">
        <v>730.36318460656912</v>
      </c>
      <c r="E36" s="1488">
        <v>2705.7495542290853</v>
      </c>
      <c r="F36" s="1488">
        <v>12559.923336376814</v>
      </c>
      <c r="G36" s="1488">
        <v>368339.21131604665</v>
      </c>
      <c r="H36" s="1489">
        <v>190187.88269309566</v>
      </c>
      <c r="I36" s="1477">
        <f t="shared" si="10"/>
        <v>0</v>
      </c>
      <c r="J36" s="579">
        <f t="shared" si="11"/>
        <v>0</v>
      </c>
      <c r="K36" s="579">
        <f t="shared" si="6"/>
        <v>0</v>
      </c>
      <c r="L36" s="579">
        <f t="shared" si="7"/>
        <v>0</v>
      </c>
      <c r="M36" s="1492">
        <f t="shared" si="7"/>
        <v>0</v>
      </c>
      <c r="N36" s="1503">
        <v>7.295170630607748</v>
      </c>
      <c r="O36" s="1504">
        <v>7.4306431447953871</v>
      </c>
      <c r="P36" s="1504">
        <v>7.4662642394427658</v>
      </c>
      <c r="Q36" s="1506">
        <v>7.3374621716409409</v>
      </c>
      <c r="R36" s="1506">
        <v>5.9192842355031541</v>
      </c>
      <c r="S36" s="582">
        <v>7.4591074801096422</v>
      </c>
      <c r="T36" s="1518">
        <v>1</v>
      </c>
      <c r="U36" s="1519">
        <v>1</v>
      </c>
      <c r="V36" s="1519">
        <v>1</v>
      </c>
      <c r="W36" s="1519">
        <v>1</v>
      </c>
      <c r="X36" s="1519">
        <v>15.925123641873043</v>
      </c>
      <c r="Y36" s="577">
        <v>1</v>
      </c>
      <c r="Z36" s="1518">
        <v>0</v>
      </c>
      <c r="AA36" s="1519">
        <v>0</v>
      </c>
      <c r="AB36" s="1519">
        <v>0</v>
      </c>
      <c r="AC36" s="1519">
        <v>0</v>
      </c>
      <c r="AD36" s="1519">
        <v>257.16885674549303</v>
      </c>
      <c r="AE36" s="577">
        <v>0</v>
      </c>
      <c r="AF36" s="517">
        <v>7.295170630607748</v>
      </c>
      <c r="BP36">
        <f t="shared" ref="BP36:BP65" si="12">AF36/N36</f>
        <v>1</v>
      </c>
      <c r="BQ36"/>
      <c r="BR36"/>
      <c r="BS36"/>
      <c r="BT36"/>
      <c r="BU36"/>
      <c r="BV36"/>
      <c r="BW36"/>
      <c r="BX36"/>
      <c r="BY36"/>
      <c r="BZ36"/>
      <c r="CA36"/>
      <c r="CB36"/>
    </row>
    <row r="37" spans="2:80" x14ac:dyDescent="0.2">
      <c r="B37" s="563">
        <v>2022</v>
      </c>
      <c r="C37" s="566">
        <v>157102.54743403592</v>
      </c>
      <c r="D37" s="1484">
        <v>1460.7263692131382</v>
      </c>
      <c r="E37" s="1484">
        <v>3132.1950407069526</v>
      </c>
      <c r="F37" s="1484">
        <v>12815.593393935997</v>
      </c>
      <c r="G37" s="1484">
        <v>311856.78907670779</v>
      </c>
      <c r="H37" s="1485">
        <v>164412.72073788615</v>
      </c>
      <c r="I37" s="1478">
        <f t="shared" si="10"/>
        <v>0</v>
      </c>
      <c r="J37" s="567">
        <f t="shared" si="11"/>
        <v>0</v>
      </c>
      <c r="K37" s="567">
        <f t="shared" si="6"/>
        <v>0</v>
      </c>
      <c r="L37" s="567">
        <f t="shared" si="7"/>
        <v>0</v>
      </c>
      <c r="M37" s="1493">
        <f t="shared" si="7"/>
        <v>0</v>
      </c>
      <c r="N37" s="1499">
        <v>7.387146020152362</v>
      </c>
      <c r="O37" s="1500">
        <v>7.6566139892462131</v>
      </c>
      <c r="P37" s="1500">
        <v>7.6945097976908094</v>
      </c>
      <c r="Q37" s="1509">
        <v>7.5823952011213311</v>
      </c>
      <c r="R37" s="1509">
        <v>6.1994229732682395</v>
      </c>
      <c r="S37" s="583">
        <v>7.6740344209913633</v>
      </c>
      <c r="T37" s="1514">
        <v>1</v>
      </c>
      <c r="U37" s="1515">
        <v>1</v>
      </c>
      <c r="V37" s="1515">
        <v>1</v>
      </c>
      <c r="W37" s="1515">
        <v>1</v>
      </c>
      <c r="X37" s="1515">
        <v>16.385461423906616</v>
      </c>
      <c r="Y37" s="565">
        <v>1</v>
      </c>
      <c r="Z37" s="1514">
        <v>0</v>
      </c>
      <c r="AA37" s="1515">
        <v>0</v>
      </c>
      <c r="AB37" s="1515">
        <v>0</v>
      </c>
      <c r="AC37" s="1515">
        <v>0</v>
      </c>
      <c r="AD37" s="1515">
        <v>259.03898988667066</v>
      </c>
      <c r="AE37" s="565">
        <v>0</v>
      </c>
      <c r="AF37" s="517">
        <v>7.387146020152362</v>
      </c>
      <c r="BP37">
        <f t="shared" si="12"/>
        <v>1</v>
      </c>
      <c r="BQ37"/>
      <c r="BR37"/>
      <c r="BS37"/>
      <c r="BT37"/>
      <c r="BU37"/>
      <c r="BV37"/>
      <c r="BW37"/>
      <c r="BX37"/>
      <c r="BY37"/>
      <c r="BZ37"/>
      <c r="CA37"/>
      <c r="CB37"/>
    </row>
    <row r="38" spans="2:80" x14ac:dyDescent="0.2">
      <c r="B38" s="563">
        <v>2023</v>
      </c>
      <c r="C38" s="566">
        <v>157653.82115105388</v>
      </c>
      <c r="D38" s="1484">
        <v>2191.0895538197074</v>
      </c>
      <c r="E38" s="1484">
        <v>3558.6405271848198</v>
      </c>
      <c r="F38" s="1484">
        <v>13071.263451495179</v>
      </c>
      <c r="G38" s="1484">
        <v>255374.36683736893</v>
      </c>
      <c r="H38" s="1485">
        <v>138637.55878267664</v>
      </c>
      <c r="I38" s="1478">
        <f t="shared" si="10"/>
        <v>0</v>
      </c>
      <c r="J38" s="567">
        <f t="shared" si="11"/>
        <v>0</v>
      </c>
      <c r="K38" s="567">
        <f t="shared" ref="K38:K65" si="13">F38*K$21</f>
        <v>0</v>
      </c>
      <c r="L38" s="567">
        <f t="shared" ref="L38:L65" si="14">G38*L$21</f>
        <v>0</v>
      </c>
      <c r="M38" s="1493">
        <f t="shared" ref="M38:M65" si="15">H38*M$21</f>
        <v>0</v>
      </c>
      <c r="N38" s="1499">
        <v>7.4855391580542259</v>
      </c>
      <c r="O38" s="1500">
        <v>7.8879481718384019</v>
      </c>
      <c r="P38" s="1500">
        <v>7.9281338349304171</v>
      </c>
      <c r="Q38" s="1509">
        <v>7.8324309497015605</v>
      </c>
      <c r="R38" s="1509">
        <v>6.4829458727857752</v>
      </c>
      <c r="S38" s="583">
        <v>7.894450900583875</v>
      </c>
      <c r="T38" s="1514">
        <v>1</v>
      </c>
      <c r="U38" s="1515">
        <v>1</v>
      </c>
      <c r="V38" s="1515">
        <v>1</v>
      </c>
      <c r="W38" s="1515">
        <v>1</v>
      </c>
      <c r="X38" s="1515">
        <v>16.857506270715547</v>
      </c>
      <c r="Y38" s="565">
        <v>1</v>
      </c>
      <c r="Z38" s="1514">
        <v>0</v>
      </c>
      <c r="AA38" s="1515">
        <v>0</v>
      </c>
      <c r="AB38" s="1515">
        <v>0</v>
      </c>
      <c r="AC38" s="1515">
        <v>0</v>
      </c>
      <c r="AD38" s="1515">
        <v>260.9091230278483</v>
      </c>
      <c r="AE38" s="565">
        <v>0</v>
      </c>
      <c r="AF38" s="517">
        <v>7.4855391580542259</v>
      </c>
      <c r="BP38">
        <f t="shared" si="12"/>
        <v>1</v>
      </c>
      <c r="BQ38"/>
      <c r="BR38"/>
      <c r="BS38"/>
      <c r="BT38"/>
      <c r="BU38"/>
      <c r="BV38"/>
      <c r="BW38"/>
      <c r="BX38"/>
      <c r="BY38"/>
      <c r="BZ38"/>
      <c r="CA38"/>
      <c r="CB38"/>
    </row>
    <row r="39" spans="2:80" x14ac:dyDescent="0.2">
      <c r="B39" s="563">
        <v>2024</v>
      </c>
      <c r="C39" s="566">
        <v>158205.09486807184</v>
      </c>
      <c r="D39" s="1484">
        <v>2921.4527384262765</v>
      </c>
      <c r="E39" s="1484">
        <v>3985.086013662687</v>
      </c>
      <c r="F39" s="1484">
        <v>13326.933509054361</v>
      </c>
      <c r="G39" s="1484">
        <v>198891.94459803007</v>
      </c>
      <c r="H39" s="1485">
        <v>112862.39682746716</v>
      </c>
      <c r="I39" s="1478">
        <f t="shared" si="10"/>
        <v>0</v>
      </c>
      <c r="J39" s="567">
        <f t="shared" si="11"/>
        <v>0</v>
      </c>
      <c r="K39" s="567">
        <f t="shared" si="13"/>
        <v>0</v>
      </c>
      <c r="L39" s="567">
        <f t="shared" si="14"/>
        <v>0</v>
      </c>
      <c r="M39" s="1493">
        <f t="shared" si="15"/>
        <v>0</v>
      </c>
      <c r="N39" s="1499">
        <v>7.6353712468712809</v>
      </c>
      <c r="O39" s="1500">
        <v>8.1732318732443314</v>
      </c>
      <c r="P39" s="1500">
        <v>8.2159800229668551</v>
      </c>
      <c r="Q39" s="1509">
        <v>8.1359959448482684</v>
      </c>
      <c r="R39" s="1509">
        <v>6.8106224518485261</v>
      </c>
      <c r="S39" s="583">
        <v>8.168883538375546</v>
      </c>
      <c r="T39" s="1514">
        <v>1</v>
      </c>
      <c r="U39" s="1515">
        <v>1</v>
      </c>
      <c r="V39" s="1515">
        <v>1</v>
      </c>
      <c r="W39" s="1515">
        <v>1</v>
      </c>
      <c r="X39" s="1515">
        <v>17.444892394995321</v>
      </c>
      <c r="Y39" s="565">
        <v>1</v>
      </c>
      <c r="Z39" s="1514">
        <v>0</v>
      </c>
      <c r="AA39" s="1515">
        <v>0</v>
      </c>
      <c r="AB39" s="1515">
        <v>0</v>
      </c>
      <c r="AC39" s="1515">
        <v>0</v>
      </c>
      <c r="AD39" s="1515">
        <v>262.77925616902593</v>
      </c>
      <c r="AE39" s="565">
        <v>0</v>
      </c>
      <c r="AF39" s="517">
        <v>7.6353712468712809</v>
      </c>
      <c r="BP39">
        <f t="shared" si="12"/>
        <v>1</v>
      </c>
      <c r="BQ39"/>
      <c r="BR39"/>
      <c r="BS39"/>
      <c r="BT39"/>
      <c r="BU39"/>
      <c r="BV39"/>
      <c r="BW39"/>
      <c r="BX39"/>
      <c r="BY39"/>
      <c r="BZ39"/>
      <c r="CA39"/>
      <c r="CB39"/>
    </row>
    <row r="40" spans="2:80" ht="13.5" thickBot="1" x14ac:dyDescent="0.25">
      <c r="B40" s="569">
        <v>2025</v>
      </c>
      <c r="C40" s="572">
        <v>158756.3685850898</v>
      </c>
      <c r="D40" s="1486">
        <v>3651.8159230329038</v>
      </c>
      <c r="E40" s="1486">
        <v>4411.5315001405834</v>
      </c>
      <c r="F40" s="1486">
        <v>13582.603566613543</v>
      </c>
      <c r="G40" s="1486">
        <v>142409.52235869115</v>
      </c>
      <c r="H40" s="1487">
        <v>87087.234872257744</v>
      </c>
      <c r="I40" s="1479">
        <f t="shared" si="10"/>
        <v>0</v>
      </c>
      <c r="J40" s="573">
        <f t="shared" si="11"/>
        <v>0</v>
      </c>
      <c r="K40" s="573">
        <f t="shared" si="13"/>
        <v>0</v>
      </c>
      <c r="L40" s="573">
        <f t="shared" si="14"/>
        <v>0</v>
      </c>
      <c r="M40" s="1494">
        <f t="shared" si="15"/>
        <v>0</v>
      </c>
      <c r="N40" s="1501">
        <v>7.8149715088268348</v>
      </c>
      <c r="O40" s="1502">
        <v>8.4914625569617606</v>
      </c>
      <c r="P40" s="1502">
        <v>8.5369547861630277</v>
      </c>
      <c r="Q40" s="1505">
        <v>8.4725274292654547</v>
      </c>
      <c r="R40" s="1505">
        <v>7.1665323927877029</v>
      </c>
      <c r="S40" s="581">
        <v>8.4761529541331999</v>
      </c>
      <c r="T40" s="1516">
        <v>1</v>
      </c>
      <c r="U40" s="1517">
        <v>1</v>
      </c>
      <c r="V40" s="1517">
        <v>1</v>
      </c>
      <c r="W40" s="1517">
        <v>1</v>
      </c>
      <c r="X40" s="1517">
        <v>18.102413925039748</v>
      </c>
      <c r="Y40" s="571">
        <v>1</v>
      </c>
      <c r="Z40" s="1516">
        <v>0</v>
      </c>
      <c r="AA40" s="1517">
        <v>0</v>
      </c>
      <c r="AB40" s="1517">
        <v>0</v>
      </c>
      <c r="AC40" s="1517">
        <v>0</v>
      </c>
      <c r="AD40" s="1517">
        <v>264.64938931020362</v>
      </c>
      <c r="AE40" s="571">
        <v>0</v>
      </c>
      <c r="AF40" s="517">
        <v>7.8149715088268348</v>
      </c>
      <c r="BP40">
        <f t="shared" si="12"/>
        <v>1</v>
      </c>
      <c r="BQ40"/>
      <c r="BR40"/>
      <c r="BS40"/>
      <c r="BT40"/>
      <c r="BU40"/>
      <c r="BV40"/>
      <c r="BW40"/>
      <c r="BX40"/>
      <c r="BY40"/>
      <c r="BZ40"/>
      <c r="CA40"/>
      <c r="CB40"/>
    </row>
    <row r="41" spans="2:80" x14ac:dyDescent="0.2">
      <c r="B41" s="575">
        <v>2026</v>
      </c>
      <c r="C41" s="578">
        <v>159487.32933471107</v>
      </c>
      <c r="D41" s="1488">
        <v>3749.1555890451127</v>
      </c>
      <c r="E41" s="1488">
        <v>4423.5303378117969</v>
      </c>
      <c r="F41" s="1488">
        <v>13199.284162683063</v>
      </c>
      <c r="G41" s="1488">
        <v>128389.76298950356</v>
      </c>
      <c r="H41" s="1489">
        <v>75720.084837218164</v>
      </c>
      <c r="I41" s="1477">
        <f t="shared" si="10"/>
        <v>0</v>
      </c>
      <c r="J41" s="579">
        <f t="shared" si="11"/>
        <v>0</v>
      </c>
      <c r="K41" s="579">
        <f t="shared" si="13"/>
        <v>0</v>
      </c>
      <c r="L41" s="579">
        <f t="shared" si="14"/>
        <v>0</v>
      </c>
      <c r="M41" s="1492">
        <f t="shared" si="15"/>
        <v>0</v>
      </c>
      <c r="N41" s="1503">
        <v>8.0156870895877077</v>
      </c>
      <c r="O41" s="1504">
        <v>8.8344651188140837</v>
      </c>
      <c r="P41" s="1504">
        <v>8.8828495805343444</v>
      </c>
      <c r="Q41" s="1506">
        <v>8.8340580048887816</v>
      </c>
      <c r="R41" s="1506">
        <v>7.5446466064377651</v>
      </c>
      <c r="S41" s="582">
        <v>8.807995250778907</v>
      </c>
      <c r="T41" s="1518">
        <v>1</v>
      </c>
      <c r="U41" s="1519">
        <v>1</v>
      </c>
      <c r="V41" s="1519">
        <v>1</v>
      </c>
      <c r="W41" s="1519">
        <v>1</v>
      </c>
      <c r="X41" s="1519">
        <v>18.81243461733391</v>
      </c>
      <c r="Y41" s="577">
        <v>1</v>
      </c>
      <c r="Z41" s="1518">
        <v>0</v>
      </c>
      <c r="AA41" s="1519">
        <v>0</v>
      </c>
      <c r="AB41" s="1519">
        <v>0</v>
      </c>
      <c r="AC41" s="1519">
        <v>0</v>
      </c>
      <c r="AD41" s="1519">
        <v>265.4085280078678</v>
      </c>
      <c r="AE41" s="577">
        <v>0</v>
      </c>
      <c r="AF41" s="517">
        <v>8.0156870895877077</v>
      </c>
      <c r="BP41">
        <f t="shared" si="12"/>
        <v>1</v>
      </c>
      <c r="BQ41"/>
      <c r="BR41"/>
      <c r="BS41"/>
      <c r="BT41"/>
      <c r="BU41"/>
      <c r="BV41"/>
      <c r="BW41"/>
      <c r="BX41"/>
      <c r="BY41"/>
      <c r="BZ41"/>
      <c r="CA41"/>
      <c r="CB41"/>
    </row>
    <row r="42" spans="2:80" x14ac:dyDescent="0.2">
      <c r="B42" s="563">
        <v>2027</v>
      </c>
      <c r="C42" s="566">
        <v>160218.29008433232</v>
      </c>
      <c r="D42" s="1484">
        <v>3846.4952550573216</v>
      </c>
      <c r="E42" s="1484">
        <v>4435.5291754830105</v>
      </c>
      <c r="F42" s="1484">
        <v>12815.964758752583</v>
      </c>
      <c r="G42" s="1484">
        <v>114370.00362031595</v>
      </c>
      <c r="H42" s="1485">
        <v>64352.934802178585</v>
      </c>
      <c r="I42" s="1478">
        <f t="shared" si="10"/>
        <v>0</v>
      </c>
      <c r="J42" s="567">
        <f t="shared" si="11"/>
        <v>0</v>
      </c>
      <c r="K42" s="567">
        <f t="shared" si="13"/>
        <v>0</v>
      </c>
      <c r="L42" s="567">
        <f t="shared" si="14"/>
        <v>0</v>
      </c>
      <c r="M42" s="1493">
        <f t="shared" si="15"/>
        <v>0</v>
      </c>
      <c r="N42" s="1499">
        <v>8.2058097340255856</v>
      </c>
      <c r="O42" s="1500">
        <v>9.1676956127079929</v>
      </c>
      <c r="P42" s="1500">
        <v>9.2189346263902561</v>
      </c>
      <c r="Q42" s="1509">
        <v>9.1861067133859464</v>
      </c>
      <c r="R42" s="1509">
        <v>7.9157465605190298</v>
      </c>
      <c r="S42" s="583">
        <v>9.1299364355317749</v>
      </c>
      <c r="T42" s="1514">
        <v>1</v>
      </c>
      <c r="U42" s="1515">
        <v>1</v>
      </c>
      <c r="V42" s="1515">
        <v>1</v>
      </c>
      <c r="W42" s="1515">
        <v>1</v>
      </c>
      <c r="X42" s="1515">
        <v>19.501327843465209</v>
      </c>
      <c r="Y42" s="565">
        <v>1</v>
      </c>
      <c r="Z42" s="1514">
        <v>0</v>
      </c>
      <c r="AA42" s="1515">
        <v>0</v>
      </c>
      <c r="AB42" s="1515">
        <v>0</v>
      </c>
      <c r="AC42" s="1515">
        <v>0</v>
      </c>
      <c r="AD42" s="1515">
        <v>266.16766670553199</v>
      </c>
      <c r="AE42" s="565">
        <v>0</v>
      </c>
      <c r="AF42" s="517">
        <v>8.2058097340255856</v>
      </c>
      <c r="BP42">
        <f t="shared" si="12"/>
        <v>1</v>
      </c>
      <c r="BQ42"/>
      <c r="BR42"/>
      <c r="BS42"/>
      <c r="BT42"/>
      <c r="BU42"/>
      <c r="BV42"/>
      <c r="BW42"/>
      <c r="BX42"/>
      <c r="BY42"/>
      <c r="BZ42"/>
      <c r="CA42"/>
      <c r="CB42"/>
    </row>
    <row r="43" spans="2:80" x14ac:dyDescent="0.2">
      <c r="B43" s="563">
        <v>2028</v>
      </c>
      <c r="C43" s="566">
        <v>160949.25083395356</v>
      </c>
      <c r="D43" s="1484">
        <v>3943.8349210695305</v>
      </c>
      <c r="E43" s="1484">
        <v>4447.528013154224</v>
      </c>
      <c r="F43" s="1484">
        <v>12432.645354822103</v>
      </c>
      <c r="G43" s="1484">
        <v>100350.24425112834</v>
      </c>
      <c r="H43" s="1485">
        <v>52985.784767139005</v>
      </c>
      <c r="I43" s="1478">
        <f t="shared" si="10"/>
        <v>0</v>
      </c>
      <c r="J43" s="567">
        <f t="shared" si="11"/>
        <v>0</v>
      </c>
      <c r="K43" s="567">
        <f t="shared" si="13"/>
        <v>0</v>
      </c>
      <c r="L43" s="567">
        <f t="shared" si="14"/>
        <v>0</v>
      </c>
      <c r="M43" s="1493">
        <f t="shared" si="15"/>
        <v>0</v>
      </c>
      <c r="N43" s="1499">
        <v>8.2874487229188585</v>
      </c>
      <c r="O43" s="1500">
        <v>9.3797973204981187</v>
      </c>
      <c r="P43" s="1500">
        <v>9.4332144730272312</v>
      </c>
      <c r="Q43" s="1509">
        <v>9.4167940933366303</v>
      </c>
      <c r="R43" s="1509">
        <v>8.182308414645922</v>
      </c>
      <c r="S43" s="583">
        <v>9.3312418747684731</v>
      </c>
      <c r="T43" s="1514">
        <v>1</v>
      </c>
      <c r="U43" s="1515">
        <v>1</v>
      </c>
      <c r="V43" s="1515">
        <v>1</v>
      </c>
      <c r="W43" s="1515">
        <v>1</v>
      </c>
      <c r="X43" s="1515">
        <v>19.932546705144251</v>
      </c>
      <c r="Y43" s="565">
        <v>1</v>
      </c>
      <c r="Z43" s="1514">
        <v>0</v>
      </c>
      <c r="AA43" s="1515">
        <v>0</v>
      </c>
      <c r="AB43" s="1515">
        <v>0</v>
      </c>
      <c r="AC43" s="1515">
        <v>0</v>
      </c>
      <c r="AD43" s="1515">
        <v>266.92680540319617</v>
      </c>
      <c r="AE43" s="565">
        <v>0</v>
      </c>
      <c r="AF43" s="517">
        <v>8.3620977323245125</v>
      </c>
      <c r="BP43">
        <f t="shared" si="12"/>
        <v>1.0090074776811846</v>
      </c>
      <c r="BQ43"/>
      <c r="BR43"/>
      <c r="BS43"/>
      <c r="BT43"/>
      <c r="BU43"/>
      <c r="BV43"/>
      <c r="BW43"/>
      <c r="BX43"/>
      <c r="BY43"/>
      <c r="BZ43"/>
      <c r="CA43"/>
      <c r="CB43"/>
    </row>
    <row r="44" spans="2:80" x14ac:dyDescent="0.2">
      <c r="B44" s="563">
        <v>2029</v>
      </c>
      <c r="C44" s="566">
        <v>161680.2115835748</v>
      </c>
      <c r="D44" s="1484">
        <v>4041.1745870817394</v>
      </c>
      <c r="E44" s="1484">
        <v>4459.5268508254376</v>
      </c>
      <c r="F44" s="1484">
        <v>12049.325950891624</v>
      </c>
      <c r="G44" s="1484">
        <v>86330.484881940734</v>
      </c>
      <c r="H44" s="1485">
        <v>41618.634732099425</v>
      </c>
      <c r="I44" s="1478">
        <f t="shared" si="10"/>
        <v>0</v>
      </c>
      <c r="J44" s="567">
        <f t="shared" si="11"/>
        <v>0</v>
      </c>
      <c r="K44" s="567">
        <f t="shared" si="13"/>
        <v>0</v>
      </c>
      <c r="L44" s="567">
        <f t="shared" si="14"/>
        <v>0</v>
      </c>
      <c r="M44" s="1493">
        <f t="shared" si="15"/>
        <v>0</v>
      </c>
      <c r="N44" s="1499">
        <v>8.2981128671196664</v>
      </c>
      <c r="O44" s="1500">
        <v>9.5090771768712248</v>
      </c>
      <c r="P44" s="1500">
        <v>9.5641806061913321</v>
      </c>
      <c r="Q44" s="1509">
        <v>9.5639634431368883</v>
      </c>
      <c r="R44" s="1509">
        <v>8.3749245337181932</v>
      </c>
      <c r="S44" s="583">
        <v>9.4816777460932951</v>
      </c>
      <c r="T44" s="1514">
        <v>1</v>
      </c>
      <c r="U44" s="1515">
        <v>1</v>
      </c>
      <c r="V44" s="1515">
        <v>1</v>
      </c>
      <c r="W44" s="1515">
        <v>1</v>
      </c>
      <c r="X44" s="1515">
        <v>20.205975375777903</v>
      </c>
      <c r="Y44" s="565">
        <v>1</v>
      </c>
      <c r="Z44" s="1514">
        <v>0</v>
      </c>
      <c r="AA44" s="1515">
        <v>0</v>
      </c>
      <c r="AB44" s="1515">
        <v>0</v>
      </c>
      <c r="AC44" s="1515">
        <v>0</v>
      </c>
      <c r="AD44" s="1515">
        <v>267.68594410086035</v>
      </c>
      <c r="AE44" s="565">
        <v>0</v>
      </c>
      <c r="AF44" s="517">
        <v>8.3620977323245125</v>
      </c>
      <c r="BP44">
        <f t="shared" si="12"/>
        <v>1.0077107730672572</v>
      </c>
      <c r="BQ44"/>
      <c r="BR44"/>
      <c r="BS44"/>
      <c r="BT44"/>
      <c r="BU44"/>
      <c r="BV44"/>
      <c r="BW44"/>
      <c r="BX44"/>
      <c r="BY44"/>
      <c r="BZ44"/>
      <c r="CA44"/>
      <c r="CB44"/>
    </row>
    <row r="45" spans="2:80" ht="13.5" thickBot="1" x14ac:dyDescent="0.25">
      <c r="B45" s="569">
        <v>2030</v>
      </c>
      <c r="C45" s="572">
        <v>162352.82643157447</v>
      </c>
      <c r="D45" s="1486">
        <v>4138.5142530939775</v>
      </c>
      <c r="E45" s="1486">
        <v>4471.5256884965929</v>
      </c>
      <c r="F45" s="1486">
        <v>11666.006546961173</v>
      </c>
      <c r="G45" s="1486">
        <v>72310.725512753124</v>
      </c>
      <c r="H45" s="1487">
        <v>30251.484697059874</v>
      </c>
      <c r="I45" s="1479">
        <f t="shared" si="10"/>
        <v>0</v>
      </c>
      <c r="J45" s="573">
        <f t="shared" si="11"/>
        <v>0</v>
      </c>
      <c r="K45" s="573">
        <f t="shared" si="13"/>
        <v>0</v>
      </c>
      <c r="L45" s="573">
        <f t="shared" si="14"/>
        <v>0</v>
      </c>
      <c r="M45" s="1494">
        <f t="shared" si="15"/>
        <v>0</v>
      </c>
      <c r="N45" s="1501">
        <v>8.3087770113204744</v>
      </c>
      <c r="O45" s="1502">
        <v>9.6349948642165089</v>
      </c>
      <c r="P45" s="1502">
        <v>9.6917381712134123</v>
      </c>
      <c r="Q45" s="1505">
        <v>9.7072588297883016</v>
      </c>
      <c r="R45" s="1505">
        <v>8.5623174835699398</v>
      </c>
      <c r="S45" s="581">
        <v>9.632113617418117</v>
      </c>
      <c r="T45" s="1516">
        <v>1</v>
      </c>
      <c r="U45" s="1517">
        <v>1</v>
      </c>
      <c r="V45" s="1517">
        <v>1</v>
      </c>
      <c r="W45" s="1517">
        <v>1</v>
      </c>
      <c r="X45" s="1517">
        <v>20.479404046411556</v>
      </c>
      <c r="Y45" s="571">
        <v>1</v>
      </c>
      <c r="Z45" s="1516">
        <v>0</v>
      </c>
      <c r="AA45" s="1517">
        <v>0</v>
      </c>
      <c r="AB45" s="1517">
        <v>0</v>
      </c>
      <c r="AC45" s="1517">
        <v>0</v>
      </c>
      <c r="AD45" s="1517">
        <v>268.44508279852465</v>
      </c>
      <c r="AE45" s="571">
        <v>0</v>
      </c>
      <c r="AF45" s="517">
        <v>8.3620977323245125</v>
      </c>
      <c r="BP45">
        <f t="shared" si="12"/>
        <v>1.0064173970406705</v>
      </c>
      <c r="BQ45"/>
      <c r="BR45"/>
      <c r="BS45"/>
      <c r="BT45"/>
      <c r="BU45"/>
      <c r="BV45"/>
      <c r="BW45"/>
      <c r="BX45"/>
      <c r="BY45"/>
      <c r="BZ45"/>
      <c r="CA45"/>
      <c r="CB45"/>
    </row>
    <row r="46" spans="2:80" x14ac:dyDescent="0.2">
      <c r="B46" s="575">
        <v>2031</v>
      </c>
      <c r="C46" s="578">
        <v>162352.82643157447</v>
      </c>
      <c r="D46" s="1488">
        <v>4138.5142530939775</v>
      </c>
      <c r="E46" s="1488">
        <v>4471.5256884965929</v>
      </c>
      <c r="F46" s="1488">
        <v>12448.262795188202</v>
      </c>
      <c r="G46" s="1488">
        <v>66808.676176908804</v>
      </c>
      <c r="H46" s="1489">
        <v>27282.035236115451</v>
      </c>
      <c r="I46" s="1477">
        <f t="shared" si="10"/>
        <v>0</v>
      </c>
      <c r="J46" s="579">
        <f t="shared" si="11"/>
        <v>0</v>
      </c>
      <c r="K46" s="579">
        <f t="shared" si="13"/>
        <v>0</v>
      </c>
      <c r="L46" s="579">
        <f t="shared" si="14"/>
        <v>0</v>
      </c>
      <c r="M46" s="1492">
        <f t="shared" si="15"/>
        <v>0</v>
      </c>
      <c r="N46" s="1503">
        <v>8.3194411555212824</v>
      </c>
      <c r="O46" s="1504">
        <f>$N46*O45/$N45</f>
        <v>9.6473611817222089</v>
      </c>
      <c r="P46" s="1504">
        <f t="shared" ref="P46:P65" si="16">$N46*P45/$N45</f>
        <v>9.7041773175851933</v>
      </c>
      <c r="Q46" s="1506">
        <v>9.8915661322679789</v>
      </c>
      <c r="R46" s="1506">
        <v>8.7559150505831322</v>
      </c>
      <c r="S46" s="582">
        <v>9.7825494887429389</v>
      </c>
      <c r="T46" s="1518">
        <v>1</v>
      </c>
      <c r="U46" s="1519">
        <v>1</v>
      </c>
      <c r="V46" s="1519">
        <v>1</v>
      </c>
      <c r="W46" s="1519">
        <v>1</v>
      </c>
      <c r="X46" s="1519">
        <v>20.752832717045212</v>
      </c>
      <c r="Y46" s="577">
        <v>1</v>
      </c>
      <c r="Z46" s="1518">
        <v>0</v>
      </c>
      <c r="AA46" s="1519">
        <v>0</v>
      </c>
      <c r="AB46" s="1519">
        <v>0</v>
      </c>
      <c r="AC46" s="1519">
        <v>0</v>
      </c>
      <c r="AD46" s="1519">
        <v>269.02220881993833</v>
      </c>
      <c r="AE46" s="577">
        <v>0</v>
      </c>
      <c r="AF46" s="517">
        <v>8.3620977323245125</v>
      </c>
      <c r="BP46">
        <f t="shared" si="12"/>
        <v>1.0051273368013331</v>
      </c>
      <c r="BQ46"/>
      <c r="BR46"/>
      <c r="BS46"/>
      <c r="BT46"/>
      <c r="BU46"/>
      <c r="BV46"/>
      <c r="BW46"/>
      <c r="BX46"/>
      <c r="BY46"/>
      <c r="BZ46"/>
      <c r="CA46"/>
      <c r="CB46"/>
    </row>
    <row r="47" spans="2:80" x14ac:dyDescent="0.2">
      <c r="B47" s="563">
        <v>2032</v>
      </c>
      <c r="C47" s="566">
        <v>162352.82643157447</v>
      </c>
      <c r="D47" s="1488">
        <v>4138.5142530939775</v>
      </c>
      <c r="E47" s="1488">
        <v>4471.5256884965929</v>
      </c>
      <c r="F47" s="1488">
        <v>13230.519043415232</v>
      </c>
      <c r="G47" s="1488">
        <v>61306.626841064484</v>
      </c>
      <c r="H47" s="1489">
        <v>24312.585775171028</v>
      </c>
      <c r="I47" s="1478">
        <f t="shared" si="10"/>
        <v>0</v>
      </c>
      <c r="J47" s="584">
        <f t="shared" si="11"/>
        <v>0</v>
      </c>
      <c r="K47" s="567">
        <f t="shared" si="13"/>
        <v>0</v>
      </c>
      <c r="L47" s="584">
        <f t="shared" si="14"/>
        <v>0</v>
      </c>
      <c r="M47" s="1493">
        <f t="shared" si="15"/>
        <v>0</v>
      </c>
      <c r="N47" s="1503">
        <v>8.3301052997220904</v>
      </c>
      <c r="O47" s="1500">
        <f t="shared" ref="O47:O65" si="17">$N47*O46/$N46</f>
        <v>9.659727499227909</v>
      </c>
      <c r="P47" s="1500">
        <f t="shared" si="16"/>
        <v>9.7166164639569725</v>
      </c>
      <c r="Q47" s="1509">
        <v>10.076313996639133</v>
      </c>
      <c r="R47" s="1509">
        <v>8.9499807639782905</v>
      </c>
      <c r="S47" s="583">
        <v>9.999223677123501</v>
      </c>
      <c r="T47" s="1518">
        <v>1</v>
      </c>
      <c r="U47" s="1519">
        <v>1</v>
      </c>
      <c r="V47" s="1519">
        <v>1</v>
      </c>
      <c r="W47" s="1519">
        <v>1</v>
      </c>
      <c r="X47" s="1519">
        <v>21.06920883474163</v>
      </c>
      <c r="Y47" s="577">
        <v>1</v>
      </c>
      <c r="Z47" s="1518">
        <v>0</v>
      </c>
      <c r="AA47" s="1519">
        <v>0</v>
      </c>
      <c r="AB47" s="1519">
        <v>0</v>
      </c>
      <c r="AC47" s="1519">
        <v>0</v>
      </c>
      <c r="AD47" s="1519">
        <v>269.599334841352</v>
      </c>
      <c r="AE47" s="577">
        <v>0</v>
      </c>
      <c r="AF47" s="517">
        <v>8.3620977323245125</v>
      </c>
      <c r="BP47">
        <f t="shared" si="12"/>
        <v>1.0038405796147005</v>
      </c>
      <c r="BQ47"/>
      <c r="BR47"/>
      <c r="BS47"/>
      <c r="BT47"/>
      <c r="BU47"/>
      <c r="BV47"/>
      <c r="BW47"/>
      <c r="BX47"/>
      <c r="BY47"/>
      <c r="BZ47"/>
      <c r="CA47"/>
      <c r="CB47"/>
    </row>
    <row r="48" spans="2:80" x14ac:dyDescent="0.2">
      <c r="B48" s="563">
        <v>2033</v>
      </c>
      <c r="C48" s="566">
        <v>162352.82643157447</v>
      </c>
      <c r="D48" s="1488">
        <v>4138.5142530939775</v>
      </c>
      <c r="E48" s="1488">
        <v>4471.5256884965929</v>
      </c>
      <c r="F48" s="1488">
        <v>14012.775291642261</v>
      </c>
      <c r="G48" s="1488">
        <v>55804.577505220164</v>
      </c>
      <c r="H48" s="1489">
        <v>21343.136314226605</v>
      </c>
      <c r="I48" s="1478">
        <f t="shared" si="10"/>
        <v>0</v>
      </c>
      <c r="J48" s="567">
        <f t="shared" si="11"/>
        <v>0</v>
      </c>
      <c r="K48" s="567">
        <f t="shared" si="13"/>
        <v>0</v>
      </c>
      <c r="L48" s="567">
        <f t="shared" si="14"/>
        <v>0</v>
      </c>
      <c r="M48" s="1493">
        <f t="shared" si="15"/>
        <v>0</v>
      </c>
      <c r="N48" s="1503">
        <v>8.3407694439228983</v>
      </c>
      <c r="O48" s="1500">
        <f t="shared" si="17"/>
        <v>9.672093816733609</v>
      </c>
      <c r="P48" s="1500">
        <f t="shared" si="16"/>
        <v>9.7290556103287518</v>
      </c>
      <c r="Q48" s="1509">
        <v>10.261502422901765</v>
      </c>
      <c r="R48" s="1509">
        <v>9.1445146237554127</v>
      </c>
      <c r="S48" s="583">
        <v>10.216420528913279</v>
      </c>
      <c r="T48" s="1518">
        <v>1</v>
      </c>
      <c r="U48" s="1519">
        <v>1</v>
      </c>
      <c r="V48" s="1519">
        <v>1</v>
      </c>
      <c r="W48" s="1519">
        <v>1</v>
      </c>
      <c r="X48" s="1519">
        <v>21.386326886942754</v>
      </c>
      <c r="Y48" s="577">
        <v>1</v>
      </c>
      <c r="Z48" s="1518">
        <v>0</v>
      </c>
      <c r="AA48" s="1519">
        <v>0</v>
      </c>
      <c r="AB48" s="1519">
        <v>0</v>
      </c>
      <c r="AC48" s="1519">
        <v>0</v>
      </c>
      <c r="AD48" s="1519">
        <v>270.17646086276568</v>
      </c>
      <c r="AE48" s="577">
        <v>0</v>
      </c>
      <c r="AF48" s="517">
        <v>8.3620977323245125</v>
      </c>
      <c r="BP48">
        <f t="shared" si="12"/>
        <v>1.0025571128113551</v>
      </c>
      <c r="BQ48"/>
      <c r="BR48"/>
      <c r="BS48"/>
      <c r="BT48"/>
      <c r="BU48"/>
      <c r="BV48"/>
      <c r="BW48"/>
      <c r="BX48"/>
      <c r="BY48"/>
      <c r="BZ48"/>
      <c r="CA48"/>
      <c r="CB48"/>
    </row>
    <row r="49" spans="2:80" x14ac:dyDescent="0.2">
      <c r="B49" s="563">
        <v>2034</v>
      </c>
      <c r="C49" s="566">
        <v>162352.82643157447</v>
      </c>
      <c r="D49" s="1488">
        <v>4138.5142530939775</v>
      </c>
      <c r="E49" s="1488">
        <v>4471.5256884965929</v>
      </c>
      <c r="F49" s="1488">
        <v>14795.031539869291</v>
      </c>
      <c r="G49" s="1488">
        <v>50302.528169375844</v>
      </c>
      <c r="H49" s="1489">
        <v>18373.686853282183</v>
      </c>
      <c r="I49" s="1478">
        <f t="shared" si="10"/>
        <v>0</v>
      </c>
      <c r="J49" s="567">
        <f t="shared" si="11"/>
        <v>0</v>
      </c>
      <c r="K49" s="567">
        <f t="shared" si="13"/>
        <v>0</v>
      </c>
      <c r="L49" s="567">
        <f t="shared" si="14"/>
        <v>0</v>
      </c>
      <c r="M49" s="1493">
        <f t="shared" si="15"/>
        <v>0</v>
      </c>
      <c r="N49" s="1503">
        <v>8.3514335881237045</v>
      </c>
      <c r="O49" s="1500">
        <f t="shared" si="17"/>
        <v>9.6844601342393055</v>
      </c>
      <c r="P49" s="1500">
        <f t="shared" si="16"/>
        <v>9.7414947567005292</v>
      </c>
      <c r="Q49" s="1509">
        <v>10.447131411055873</v>
      </c>
      <c r="R49" s="1509">
        <v>9.3395166299144954</v>
      </c>
      <c r="S49" s="583">
        <v>10.434140044112267</v>
      </c>
      <c r="T49" s="1518">
        <v>1</v>
      </c>
      <c r="U49" s="1519">
        <v>1</v>
      </c>
      <c r="V49" s="1519">
        <v>1</v>
      </c>
      <c r="W49" s="1519">
        <v>1</v>
      </c>
      <c r="X49" s="1519">
        <v>21.704186873648588</v>
      </c>
      <c r="Y49" s="577">
        <v>1</v>
      </c>
      <c r="Z49" s="1518">
        <v>0</v>
      </c>
      <c r="AA49" s="1519">
        <v>0</v>
      </c>
      <c r="AB49" s="1519">
        <v>0</v>
      </c>
      <c r="AC49" s="1519">
        <v>0</v>
      </c>
      <c r="AD49" s="1519">
        <v>270.75358688417936</v>
      </c>
      <c r="AE49" s="577">
        <v>0</v>
      </c>
      <c r="AF49" s="517">
        <v>8.3620977323245125</v>
      </c>
      <c r="BP49">
        <f t="shared" si="12"/>
        <v>1.0012769237865908</v>
      </c>
      <c r="BQ49"/>
      <c r="BR49"/>
      <c r="BS49"/>
      <c r="BT49"/>
      <c r="BU49"/>
      <c r="BV49"/>
      <c r="BW49"/>
      <c r="BX49"/>
      <c r="BY49"/>
      <c r="BZ49"/>
      <c r="CA49"/>
      <c r="CB49"/>
    </row>
    <row r="50" spans="2:80" ht="13.5" thickBot="1" x14ac:dyDescent="0.25">
      <c r="B50" s="585">
        <v>2035</v>
      </c>
      <c r="C50" s="588">
        <v>162352.82643157447</v>
      </c>
      <c r="D50" s="1490">
        <v>4138.5142530939775</v>
      </c>
      <c r="E50" s="1490">
        <v>4471.5256884965929</v>
      </c>
      <c r="F50" s="1490">
        <v>15577.28778809635</v>
      </c>
      <c r="G50" s="1490">
        <v>44800.478833531524</v>
      </c>
      <c r="H50" s="1491">
        <v>15404.237392337789</v>
      </c>
      <c r="I50" s="1480">
        <f t="shared" si="10"/>
        <v>0</v>
      </c>
      <c r="J50" s="589">
        <f t="shared" si="11"/>
        <v>0</v>
      </c>
      <c r="K50" s="589">
        <f t="shared" si="13"/>
        <v>0</v>
      </c>
      <c r="L50" s="589">
        <f t="shared" si="14"/>
        <v>0</v>
      </c>
      <c r="M50" s="1495">
        <f t="shared" si="15"/>
        <v>0</v>
      </c>
      <c r="N50" s="1510">
        <v>8.3620977323245125</v>
      </c>
      <c r="O50" s="1502">
        <f t="shared" si="17"/>
        <v>9.6968264517450056</v>
      </c>
      <c r="P50" s="1502">
        <f t="shared" si="16"/>
        <v>9.7539339030723085</v>
      </c>
      <c r="Q50" s="1505">
        <v>10.633200961101462</v>
      </c>
      <c r="R50" s="1505">
        <v>9.5349867824555457</v>
      </c>
      <c r="S50" s="581">
        <v>10.652382222720474</v>
      </c>
      <c r="T50" s="1520">
        <v>1</v>
      </c>
      <c r="U50" s="1521">
        <v>1</v>
      </c>
      <c r="V50" s="1521">
        <v>1</v>
      </c>
      <c r="W50" s="1521">
        <v>1</v>
      </c>
      <c r="X50" s="1521">
        <v>22.022788794859135</v>
      </c>
      <c r="Y50" s="587">
        <v>1</v>
      </c>
      <c r="Z50" s="1520">
        <v>0</v>
      </c>
      <c r="AA50" s="1521">
        <v>0</v>
      </c>
      <c r="AB50" s="1521">
        <v>0</v>
      </c>
      <c r="AC50" s="1521">
        <v>0</v>
      </c>
      <c r="AD50" s="1521">
        <v>271.33071290559297</v>
      </c>
      <c r="AE50" s="587">
        <v>0</v>
      </c>
      <c r="AF50" s="517">
        <v>8.3620977323245125</v>
      </c>
      <c r="BP50">
        <f t="shared" si="12"/>
        <v>1</v>
      </c>
      <c r="BQ50"/>
      <c r="BR50"/>
      <c r="BS50"/>
      <c r="BT50"/>
      <c r="BU50"/>
      <c r="BV50"/>
      <c r="BW50"/>
      <c r="BX50"/>
      <c r="BY50"/>
      <c r="BZ50"/>
      <c r="CA50"/>
      <c r="CB50"/>
    </row>
    <row r="51" spans="2:80" x14ac:dyDescent="0.2">
      <c r="B51" s="590">
        <v>2036</v>
      </c>
      <c r="C51" s="593">
        <v>162352.82643157447</v>
      </c>
      <c r="D51" s="1482">
        <v>4138.5142530939775</v>
      </c>
      <c r="E51" s="1482">
        <v>4471.5256884965929</v>
      </c>
      <c r="F51" s="1482">
        <v>15895.029506688967</v>
      </c>
      <c r="G51" s="1482">
        <v>44263.406737444486</v>
      </c>
      <c r="H51" s="1483">
        <v>14926.396499291848</v>
      </c>
      <c r="I51" s="1481">
        <f t="shared" si="10"/>
        <v>0</v>
      </c>
      <c r="J51" s="594">
        <f t="shared" si="11"/>
        <v>0</v>
      </c>
      <c r="K51" s="594">
        <f t="shared" si="13"/>
        <v>0</v>
      </c>
      <c r="L51" s="594">
        <f t="shared" si="14"/>
        <v>0</v>
      </c>
      <c r="M51" s="1496">
        <f t="shared" si="15"/>
        <v>0</v>
      </c>
      <c r="N51" s="1497">
        <v>8.3621425942436112</v>
      </c>
      <c r="O51" s="1498">
        <f t="shared" si="17"/>
        <v>9.6968784743663274</v>
      </c>
      <c r="P51" s="1498">
        <f t="shared" si="16"/>
        <v>9.753986232070087</v>
      </c>
      <c r="Q51" s="1511">
        <v>10.693764198142821</v>
      </c>
      <c r="R51" s="1511">
        <v>9.5983651264589387</v>
      </c>
      <c r="S51" s="596">
        <v>10.751837803845969</v>
      </c>
      <c r="T51" s="1512">
        <v>1</v>
      </c>
      <c r="U51" s="1513">
        <v>1</v>
      </c>
      <c r="V51" s="1513">
        <v>1</v>
      </c>
      <c r="W51" s="1513">
        <v>1</v>
      </c>
      <c r="X51" s="1513">
        <v>22.119897921763069</v>
      </c>
      <c r="Y51" s="592">
        <v>1</v>
      </c>
      <c r="Z51" s="1512">
        <v>0</v>
      </c>
      <c r="AA51" s="1513">
        <v>0</v>
      </c>
      <c r="AB51" s="1513">
        <v>0</v>
      </c>
      <c r="AC51" s="1513">
        <v>0</v>
      </c>
      <c r="AD51" s="1513">
        <v>271.50374756358025</v>
      </c>
      <c r="AE51" s="592">
        <v>0</v>
      </c>
      <c r="AF51" s="517">
        <v>8.3650405987967709</v>
      </c>
      <c r="BP51">
        <f t="shared" si="12"/>
        <v>1.0003465624414436</v>
      </c>
    </row>
    <row r="52" spans="2:80" x14ac:dyDescent="0.2">
      <c r="B52" s="563">
        <v>2037</v>
      </c>
      <c r="C52" s="566">
        <v>162352.82643157447</v>
      </c>
      <c r="D52" s="1484">
        <v>4138.5142530939775</v>
      </c>
      <c r="E52" s="1484">
        <v>4471.5256884965929</v>
      </c>
      <c r="F52" s="1484">
        <v>16212.771225281584</v>
      </c>
      <c r="G52" s="1484">
        <v>43726.334641357447</v>
      </c>
      <c r="H52" s="1485">
        <v>14448.555606245907</v>
      </c>
      <c r="I52" s="1478">
        <f t="shared" si="10"/>
        <v>0</v>
      </c>
      <c r="J52" s="567">
        <f t="shared" si="11"/>
        <v>0</v>
      </c>
      <c r="K52" s="567">
        <f t="shared" si="13"/>
        <v>0</v>
      </c>
      <c r="L52" s="567">
        <f t="shared" si="14"/>
        <v>0</v>
      </c>
      <c r="M52" s="1493">
        <f t="shared" si="15"/>
        <v>0</v>
      </c>
      <c r="N52" s="1499">
        <v>8.3621874561627099</v>
      </c>
      <c r="O52" s="1500">
        <f t="shared" si="17"/>
        <v>9.6969304969876511</v>
      </c>
      <c r="P52" s="1500">
        <f t="shared" si="16"/>
        <v>9.7540385610678637</v>
      </c>
      <c r="Q52" s="1509">
        <v>10.754328084401481</v>
      </c>
      <c r="R52" s="1509">
        <v>9.6617441499482926</v>
      </c>
      <c r="S52" s="583">
        <v>10.851294451493438</v>
      </c>
      <c r="T52" s="1514">
        <v>1</v>
      </c>
      <c r="U52" s="1515">
        <v>1</v>
      </c>
      <c r="V52" s="1515">
        <v>1</v>
      </c>
      <c r="W52" s="1515">
        <v>1</v>
      </c>
      <c r="X52" s="1515">
        <v>22.217008089357545</v>
      </c>
      <c r="Y52" s="565">
        <v>1</v>
      </c>
      <c r="Z52" s="1514">
        <v>0</v>
      </c>
      <c r="AA52" s="1515">
        <v>0</v>
      </c>
      <c r="AB52" s="1515">
        <v>0</v>
      </c>
      <c r="AC52" s="1515">
        <v>0</v>
      </c>
      <c r="AD52" s="1515">
        <v>271.67678222156752</v>
      </c>
      <c r="AE52" s="565">
        <v>0</v>
      </c>
      <c r="AF52" s="517">
        <v>8.3663329725739288</v>
      </c>
      <c r="BP52">
        <f t="shared" si="12"/>
        <v>1.0004957454533221</v>
      </c>
    </row>
    <row r="53" spans="2:80" x14ac:dyDescent="0.2">
      <c r="B53" s="563">
        <v>2038</v>
      </c>
      <c r="C53" s="566">
        <v>162352.82643157447</v>
      </c>
      <c r="D53" s="1484">
        <v>4138.5142530939775</v>
      </c>
      <c r="E53" s="1484">
        <v>4471.5256884965929</v>
      </c>
      <c r="F53" s="1484">
        <v>16530.512943874201</v>
      </c>
      <c r="G53" s="1484">
        <v>43189.262545270409</v>
      </c>
      <c r="H53" s="1485">
        <v>13970.714713199966</v>
      </c>
      <c r="I53" s="1478">
        <f t="shared" si="10"/>
        <v>0</v>
      </c>
      <c r="J53" s="567">
        <f t="shared" si="11"/>
        <v>0</v>
      </c>
      <c r="K53" s="567">
        <f t="shared" si="13"/>
        <v>0</v>
      </c>
      <c r="L53" s="567">
        <f t="shared" si="14"/>
        <v>0</v>
      </c>
      <c r="M53" s="1493">
        <f t="shared" si="15"/>
        <v>0</v>
      </c>
      <c r="N53" s="1499">
        <v>8.3622323180818086</v>
      </c>
      <c r="O53" s="1500">
        <f t="shared" si="17"/>
        <v>9.696982519608973</v>
      </c>
      <c r="P53" s="1500">
        <f t="shared" si="16"/>
        <v>9.7540908900656405</v>
      </c>
      <c r="Q53" s="1509">
        <v>10.814892619877449</v>
      </c>
      <c r="R53" s="1509">
        <v>9.725123852923609</v>
      </c>
      <c r="S53" s="583">
        <v>10.95075216566288</v>
      </c>
      <c r="T53" s="1514">
        <v>1</v>
      </c>
      <c r="U53" s="1515">
        <v>1</v>
      </c>
      <c r="V53" s="1515">
        <v>1</v>
      </c>
      <c r="W53" s="1515">
        <v>1</v>
      </c>
      <c r="X53" s="1515">
        <v>22.314119297642563</v>
      </c>
      <c r="Y53" s="565">
        <v>1</v>
      </c>
      <c r="Z53" s="1514">
        <v>0</v>
      </c>
      <c r="AA53" s="1515">
        <v>0</v>
      </c>
      <c r="AB53" s="1515">
        <v>0</v>
      </c>
      <c r="AC53" s="1515">
        <v>0</v>
      </c>
      <c r="AD53" s="1515">
        <v>271.84981687955479</v>
      </c>
      <c r="AE53" s="565">
        <v>0</v>
      </c>
      <c r="AF53" s="517">
        <v>8.3656573093164184</v>
      </c>
      <c r="BP53">
        <f t="shared" si="12"/>
        <v>1.0004095785795384</v>
      </c>
    </row>
    <row r="54" spans="2:80" x14ac:dyDescent="0.2">
      <c r="B54" s="563">
        <v>2039</v>
      </c>
      <c r="C54" s="566">
        <v>162352.82643157447</v>
      </c>
      <c r="D54" s="1484">
        <v>4138.5142530939775</v>
      </c>
      <c r="E54" s="1484">
        <v>4471.5256884965929</v>
      </c>
      <c r="F54" s="1484">
        <v>16848.254662466818</v>
      </c>
      <c r="G54" s="1484">
        <v>42652.19044918337</v>
      </c>
      <c r="H54" s="1485">
        <v>13492.873820154025</v>
      </c>
      <c r="I54" s="1478">
        <f t="shared" si="10"/>
        <v>0</v>
      </c>
      <c r="J54" s="567">
        <f t="shared" si="11"/>
        <v>0</v>
      </c>
      <c r="K54" s="567">
        <f t="shared" si="13"/>
        <v>0</v>
      </c>
      <c r="L54" s="567">
        <f t="shared" si="14"/>
        <v>0</v>
      </c>
      <c r="M54" s="1493">
        <f t="shared" si="15"/>
        <v>0</v>
      </c>
      <c r="N54" s="1499">
        <v>8.3622771800009073</v>
      </c>
      <c r="O54" s="1500">
        <f t="shared" si="17"/>
        <v>9.6970345422302948</v>
      </c>
      <c r="P54" s="1500">
        <f t="shared" si="16"/>
        <v>9.754143219063419</v>
      </c>
      <c r="Q54" s="1509">
        <v>10.875457804570722</v>
      </c>
      <c r="R54" s="1509">
        <v>9.7885042353848917</v>
      </c>
      <c r="S54" s="583">
        <v>11.050210946354298</v>
      </c>
      <c r="T54" s="1514">
        <v>1</v>
      </c>
      <c r="U54" s="1515">
        <v>1</v>
      </c>
      <c r="V54" s="1515">
        <v>1</v>
      </c>
      <c r="W54" s="1515">
        <v>1</v>
      </c>
      <c r="X54" s="1515">
        <v>22.411231546618119</v>
      </c>
      <c r="Y54" s="565">
        <v>1</v>
      </c>
      <c r="Z54" s="1514">
        <v>0</v>
      </c>
      <c r="AA54" s="1515">
        <v>0</v>
      </c>
      <c r="AB54" s="1515">
        <v>0</v>
      </c>
      <c r="AC54" s="1515">
        <v>0</v>
      </c>
      <c r="AD54" s="1515">
        <v>272.02285153754207</v>
      </c>
      <c r="AE54" s="565">
        <v>0</v>
      </c>
      <c r="AF54" s="517">
        <v>8.3655254318154437</v>
      </c>
      <c r="BP54">
        <f t="shared" si="12"/>
        <v>1.0003884410603257</v>
      </c>
    </row>
    <row r="55" spans="2:80" ht="13.5" thickBot="1" x14ac:dyDescent="0.25">
      <c r="B55" s="569">
        <v>2040</v>
      </c>
      <c r="C55" s="572">
        <v>162352.82643157447</v>
      </c>
      <c r="D55" s="1486">
        <v>4138.5142530939775</v>
      </c>
      <c r="E55" s="1486">
        <v>4471.5256884965929</v>
      </c>
      <c r="F55" s="1486">
        <v>17165.996381059434</v>
      </c>
      <c r="G55" s="1486">
        <v>42115.118353096332</v>
      </c>
      <c r="H55" s="1487">
        <v>13015.032927108085</v>
      </c>
      <c r="I55" s="1479">
        <f t="shared" si="10"/>
        <v>0</v>
      </c>
      <c r="J55" s="573">
        <f t="shared" si="11"/>
        <v>0</v>
      </c>
      <c r="K55" s="573">
        <f t="shared" si="13"/>
        <v>0</v>
      </c>
      <c r="L55" s="573">
        <f t="shared" si="14"/>
        <v>0</v>
      </c>
      <c r="M55" s="1494">
        <f t="shared" si="15"/>
        <v>0</v>
      </c>
      <c r="N55" s="1501">
        <v>8.3623220419200059</v>
      </c>
      <c r="O55" s="1502">
        <f t="shared" si="17"/>
        <v>9.6970865648516185</v>
      </c>
      <c r="P55" s="1502">
        <f t="shared" si="16"/>
        <v>9.7541955480611975</v>
      </c>
      <c r="Q55" s="1505">
        <v>10.936023638481299</v>
      </c>
      <c r="R55" s="1505">
        <v>9.8518852973321369</v>
      </c>
      <c r="S55" s="581">
        <v>11.149670793567688</v>
      </c>
      <c r="T55" s="1516">
        <v>1</v>
      </c>
      <c r="U55" s="1517">
        <v>1</v>
      </c>
      <c r="V55" s="1517">
        <v>1</v>
      </c>
      <c r="W55" s="1517">
        <v>1</v>
      </c>
      <c r="X55" s="1517">
        <v>22.508344836284213</v>
      </c>
      <c r="Y55" s="571">
        <v>1</v>
      </c>
      <c r="Z55" s="1516">
        <v>0</v>
      </c>
      <c r="AA55" s="1517">
        <v>0</v>
      </c>
      <c r="AB55" s="1517">
        <v>0</v>
      </c>
      <c r="AC55" s="1517">
        <v>0</v>
      </c>
      <c r="AD55" s="1517">
        <v>272.19588619552934</v>
      </c>
      <c r="AE55" s="571">
        <v>0</v>
      </c>
      <c r="AF55" s="517">
        <v>8.3656160126612118</v>
      </c>
      <c r="BP55">
        <f t="shared" si="12"/>
        <v>1.0003939062289988</v>
      </c>
    </row>
    <row r="56" spans="2:80" x14ac:dyDescent="0.2">
      <c r="B56" s="590">
        <v>2041</v>
      </c>
      <c r="C56" s="593">
        <v>162352.82643157447</v>
      </c>
      <c r="D56" s="1482">
        <v>4138.5142530939775</v>
      </c>
      <c r="E56" s="1482">
        <v>4471.5256884965929</v>
      </c>
      <c r="F56" s="1482">
        <v>17483.738099652051</v>
      </c>
      <c r="G56" s="1482">
        <v>41578.046257009293</v>
      </c>
      <c r="H56" s="1483">
        <v>12537.192034062144</v>
      </c>
      <c r="I56" s="1481">
        <f t="shared" si="10"/>
        <v>0</v>
      </c>
      <c r="J56" s="594">
        <f t="shared" si="11"/>
        <v>0</v>
      </c>
      <c r="K56" s="594">
        <f t="shared" si="13"/>
        <v>0</v>
      </c>
      <c r="L56" s="594">
        <f t="shared" si="14"/>
        <v>0</v>
      </c>
      <c r="M56" s="1496">
        <f t="shared" si="15"/>
        <v>0</v>
      </c>
      <c r="N56" s="1497">
        <v>8.3623669038391046</v>
      </c>
      <c r="O56" s="1504">
        <f t="shared" si="17"/>
        <v>9.6971385874729421</v>
      </c>
      <c r="P56" s="1504">
        <f t="shared" si="16"/>
        <v>9.754247877058976</v>
      </c>
      <c r="Q56" s="1504">
        <v>10.996590121609181</v>
      </c>
      <c r="R56" s="1504">
        <v>9.9152670387653448</v>
      </c>
      <c r="S56" s="580">
        <v>11.249131707303057</v>
      </c>
      <c r="T56" s="1512">
        <v>1</v>
      </c>
      <c r="U56" s="1513">
        <v>1</v>
      </c>
      <c r="V56" s="1513">
        <v>1</v>
      </c>
      <c r="W56" s="1513">
        <v>1</v>
      </c>
      <c r="X56" s="1513">
        <v>22.605459166640845</v>
      </c>
      <c r="Y56" s="592">
        <v>1</v>
      </c>
      <c r="Z56" s="1512">
        <v>0</v>
      </c>
      <c r="AA56" s="1513">
        <v>0</v>
      </c>
      <c r="AB56" s="1513">
        <v>0</v>
      </c>
      <c r="AC56" s="1513">
        <v>0</v>
      </c>
      <c r="AD56" s="1513">
        <v>272.36892085351661</v>
      </c>
      <c r="AE56" s="592">
        <v>0</v>
      </c>
      <c r="AF56" s="517">
        <v>8.3659200351098004</v>
      </c>
      <c r="BP56">
        <f t="shared" si="12"/>
        <v>1.0004248954048003</v>
      </c>
    </row>
    <row r="57" spans="2:80" x14ac:dyDescent="0.2">
      <c r="B57" s="563">
        <v>2042</v>
      </c>
      <c r="C57" s="566">
        <v>162352.82643157447</v>
      </c>
      <c r="D57" s="1484">
        <v>4138.5142530939775</v>
      </c>
      <c r="E57" s="1484">
        <v>4471.5256884965929</v>
      </c>
      <c r="F57" s="1484">
        <v>17801.479818244668</v>
      </c>
      <c r="G57" s="1484">
        <v>41040.974160922255</v>
      </c>
      <c r="H57" s="1485">
        <v>12059.351141016203</v>
      </c>
      <c r="I57" s="1478">
        <f t="shared" si="10"/>
        <v>0</v>
      </c>
      <c r="J57" s="567">
        <f t="shared" si="11"/>
        <v>0</v>
      </c>
      <c r="K57" s="567">
        <f t="shared" si="13"/>
        <v>0</v>
      </c>
      <c r="L57" s="567">
        <f t="shared" si="14"/>
        <v>0</v>
      </c>
      <c r="M57" s="1493">
        <f t="shared" si="15"/>
        <v>0</v>
      </c>
      <c r="N57" s="1499">
        <v>8.3624117657582033</v>
      </c>
      <c r="O57" s="1500">
        <f t="shared" si="17"/>
        <v>9.697190610094264</v>
      </c>
      <c r="P57" s="1500">
        <f t="shared" si="16"/>
        <v>9.7543002060567527</v>
      </c>
      <c r="Q57" s="1500">
        <v>11.057157253954367</v>
      </c>
      <c r="R57" s="1500">
        <v>9.978649459684517</v>
      </c>
      <c r="S57" s="568">
        <v>11.348593687560399</v>
      </c>
      <c r="T57" s="1514">
        <v>1</v>
      </c>
      <c r="U57" s="1515">
        <v>1</v>
      </c>
      <c r="V57" s="1515">
        <v>1</v>
      </c>
      <c r="W57" s="1515">
        <v>1</v>
      </c>
      <c r="X57" s="1515">
        <v>22.702574537688022</v>
      </c>
      <c r="Y57" s="565">
        <v>1</v>
      </c>
      <c r="Z57" s="1514">
        <v>0</v>
      </c>
      <c r="AA57" s="1515">
        <v>0</v>
      </c>
      <c r="AB57" s="1515">
        <v>0</v>
      </c>
      <c r="AC57" s="1515">
        <v>0</v>
      </c>
      <c r="AD57" s="1515">
        <v>272.54195551150389</v>
      </c>
      <c r="AE57" s="565">
        <v>0</v>
      </c>
      <c r="AF57" s="517">
        <v>8.3664082609692709</v>
      </c>
      <c r="BP57">
        <f t="shared" si="12"/>
        <v>1.0004779117942304</v>
      </c>
    </row>
    <row r="58" spans="2:80" x14ac:dyDescent="0.2">
      <c r="B58" s="563">
        <v>2043</v>
      </c>
      <c r="C58" s="566">
        <v>162352.82643157447</v>
      </c>
      <c r="D58" s="1484">
        <v>4138.5142530939775</v>
      </c>
      <c r="E58" s="1484">
        <v>4471.5256884965929</v>
      </c>
      <c r="F58" s="1484">
        <v>18119.221536837285</v>
      </c>
      <c r="G58" s="1484">
        <v>40503.902064835216</v>
      </c>
      <c r="H58" s="1485">
        <v>11581.510247970262</v>
      </c>
      <c r="I58" s="1478">
        <f t="shared" si="10"/>
        <v>0</v>
      </c>
      <c r="J58" s="567">
        <f t="shared" si="11"/>
        <v>0</v>
      </c>
      <c r="K58" s="567">
        <f t="shared" si="13"/>
        <v>0</v>
      </c>
      <c r="L58" s="567">
        <f t="shared" si="14"/>
        <v>0</v>
      </c>
      <c r="M58" s="1493">
        <f t="shared" si="15"/>
        <v>0</v>
      </c>
      <c r="N58" s="1499">
        <v>8.362456627677302</v>
      </c>
      <c r="O58" s="1500">
        <f t="shared" si="17"/>
        <v>9.6972426327155858</v>
      </c>
      <c r="P58" s="1500">
        <f t="shared" si="16"/>
        <v>9.7543525350545295</v>
      </c>
      <c r="Q58" s="1500">
        <v>11.117725035516859</v>
      </c>
      <c r="R58" s="1500">
        <v>10.04203256008965</v>
      </c>
      <c r="S58" s="568">
        <v>11.448056734339714</v>
      </c>
      <c r="T58" s="1514">
        <v>1</v>
      </c>
      <c r="U58" s="1515">
        <v>1</v>
      </c>
      <c r="V58" s="1515">
        <v>1</v>
      </c>
      <c r="W58" s="1515">
        <v>1</v>
      </c>
      <c r="X58" s="1515">
        <v>22.799690949425734</v>
      </c>
      <c r="Y58" s="565">
        <v>1</v>
      </c>
      <c r="Z58" s="1514">
        <v>0</v>
      </c>
      <c r="AA58" s="1515">
        <v>0</v>
      </c>
      <c r="AB58" s="1515">
        <v>0</v>
      </c>
      <c r="AC58" s="1515">
        <v>0</v>
      </c>
      <c r="AD58" s="1515">
        <v>272.71499016949116</v>
      </c>
      <c r="AE58" s="565">
        <v>0</v>
      </c>
      <c r="AF58" s="517">
        <v>8.3661803732050721</v>
      </c>
      <c r="BP58">
        <f t="shared" si="12"/>
        <v>1.0004452932545498</v>
      </c>
    </row>
    <row r="59" spans="2:80" x14ac:dyDescent="0.2">
      <c r="B59" s="563">
        <v>2044</v>
      </c>
      <c r="C59" s="566">
        <v>162352.82643157447</v>
      </c>
      <c r="D59" s="1484">
        <v>4138.5142530939775</v>
      </c>
      <c r="E59" s="1484">
        <v>4471.5256884965929</v>
      </c>
      <c r="F59" s="1484">
        <v>18436.963255429902</v>
      </c>
      <c r="G59" s="1484">
        <v>39966.829968748178</v>
      </c>
      <c r="H59" s="1485">
        <v>11103.669354924321</v>
      </c>
      <c r="I59" s="1478">
        <f t="shared" si="10"/>
        <v>0</v>
      </c>
      <c r="J59" s="567">
        <f t="shared" si="11"/>
        <v>0</v>
      </c>
      <c r="K59" s="567">
        <f t="shared" si="13"/>
        <v>0</v>
      </c>
      <c r="L59" s="567">
        <f t="shared" si="14"/>
        <v>0</v>
      </c>
      <c r="M59" s="1493">
        <f t="shared" si="15"/>
        <v>0</v>
      </c>
      <c r="N59" s="1499">
        <v>8.3625014895964007</v>
      </c>
      <c r="O59" s="1500">
        <f t="shared" si="17"/>
        <v>9.6972946553369095</v>
      </c>
      <c r="P59" s="1500">
        <f t="shared" si="16"/>
        <v>9.754404864052308</v>
      </c>
      <c r="Q59" s="1500">
        <v>11.178293466296655</v>
      </c>
      <c r="R59" s="1500">
        <v>10.105416339980748</v>
      </c>
      <c r="S59" s="568">
        <v>11.547520847641007</v>
      </c>
      <c r="T59" s="1514">
        <v>1</v>
      </c>
      <c r="U59" s="1515">
        <v>1</v>
      </c>
      <c r="V59" s="1515">
        <v>1</v>
      </c>
      <c r="W59" s="1515">
        <v>1</v>
      </c>
      <c r="X59" s="1515">
        <v>22.896808401853988</v>
      </c>
      <c r="Y59" s="565">
        <v>1</v>
      </c>
      <c r="Z59" s="1514">
        <v>0</v>
      </c>
      <c r="AA59" s="1515">
        <v>0</v>
      </c>
      <c r="AB59" s="1515">
        <v>0</v>
      </c>
      <c r="AC59" s="1515">
        <v>0</v>
      </c>
      <c r="AD59" s="1515">
        <v>272.88802482747843</v>
      </c>
      <c r="AE59" s="565">
        <v>0</v>
      </c>
      <c r="AF59" s="517">
        <v>8.3657548368233083</v>
      </c>
      <c r="BP59">
        <f t="shared" si="12"/>
        <v>1.000389039957835</v>
      </c>
    </row>
    <row r="60" spans="2:80" ht="13.5" thickBot="1" x14ac:dyDescent="0.25">
      <c r="B60" s="569">
        <v>2045</v>
      </c>
      <c r="C60" s="572">
        <v>162352.82643157447</v>
      </c>
      <c r="D60" s="1486">
        <v>4138.5142530939775</v>
      </c>
      <c r="E60" s="1486">
        <v>4471.5256884965929</v>
      </c>
      <c r="F60" s="1486">
        <v>18754.704974022519</v>
      </c>
      <c r="G60" s="1486">
        <v>39429.757872661139</v>
      </c>
      <c r="H60" s="1487">
        <v>10625.82846187838</v>
      </c>
      <c r="I60" s="1479">
        <f t="shared" si="10"/>
        <v>0</v>
      </c>
      <c r="J60" s="573">
        <f t="shared" si="11"/>
        <v>0</v>
      </c>
      <c r="K60" s="573">
        <f t="shared" si="13"/>
        <v>0</v>
      </c>
      <c r="L60" s="573">
        <f t="shared" si="14"/>
        <v>0</v>
      </c>
      <c r="M60" s="1494">
        <f t="shared" si="15"/>
        <v>0</v>
      </c>
      <c r="N60" s="1501">
        <v>8.3625463515154994</v>
      </c>
      <c r="O60" s="1502">
        <f t="shared" si="17"/>
        <v>9.6973466779582331</v>
      </c>
      <c r="P60" s="1502">
        <f t="shared" si="16"/>
        <v>9.7544571930500865</v>
      </c>
      <c r="Q60" s="1502">
        <v>11.238862546293758</v>
      </c>
      <c r="R60" s="1502">
        <v>10.168800799357809</v>
      </c>
      <c r="S60" s="574">
        <v>11.646986027464271</v>
      </c>
      <c r="T60" s="1516">
        <v>1</v>
      </c>
      <c r="U60" s="1517">
        <v>1</v>
      </c>
      <c r="V60" s="1517">
        <v>1</v>
      </c>
      <c r="W60" s="1517">
        <v>1</v>
      </c>
      <c r="X60" s="1517">
        <v>22.99392689497278</v>
      </c>
      <c r="Y60" s="571">
        <v>1</v>
      </c>
      <c r="Z60" s="1516">
        <v>0</v>
      </c>
      <c r="AA60" s="1517">
        <v>0</v>
      </c>
      <c r="AB60" s="1517">
        <v>0</v>
      </c>
      <c r="AC60" s="1517">
        <v>0</v>
      </c>
      <c r="AD60" s="1517">
        <v>273.06105948546571</v>
      </c>
      <c r="AE60" s="571">
        <v>0</v>
      </c>
      <c r="AF60" s="517">
        <v>8.3652909009785148</v>
      </c>
      <c r="BP60">
        <f t="shared" si="12"/>
        <v>1.0003281954260879</v>
      </c>
    </row>
    <row r="61" spans="2:80" x14ac:dyDescent="0.2">
      <c r="B61" s="590">
        <v>2046</v>
      </c>
      <c r="C61" s="593">
        <v>162352.82643157447</v>
      </c>
      <c r="D61" s="1482">
        <v>4138.5142530939775</v>
      </c>
      <c r="E61" s="1482">
        <v>4471.5256884965929</v>
      </c>
      <c r="F61" s="1482">
        <v>19072.446692615136</v>
      </c>
      <c r="G61" s="1482">
        <v>38892.685776574101</v>
      </c>
      <c r="H61" s="1483">
        <v>10147.987568832439</v>
      </c>
      <c r="I61" s="1481">
        <f t="shared" si="10"/>
        <v>0</v>
      </c>
      <c r="J61" s="594">
        <f t="shared" si="11"/>
        <v>0</v>
      </c>
      <c r="K61" s="594">
        <f t="shared" si="13"/>
        <v>0</v>
      </c>
      <c r="L61" s="594">
        <f t="shared" si="14"/>
        <v>0</v>
      </c>
      <c r="M61" s="1496">
        <f t="shared" si="15"/>
        <v>0</v>
      </c>
      <c r="N61" s="1497">
        <v>8.3625912134345981</v>
      </c>
      <c r="O61" s="1498">
        <f t="shared" si="17"/>
        <v>9.697398700579555</v>
      </c>
      <c r="P61" s="1498">
        <f t="shared" si="16"/>
        <v>9.754509522047865</v>
      </c>
      <c r="Q61" s="1498">
        <v>11.299432275508162</v>
      </c>
      <c r="R61" s="1498">
        <v>10.232185938220836</v>
      </c>
      <c r="S61" s="595">
        <v>11.746452273809513</v>
      </c>
      <c r="T61" s="1512">
        <v>1</v>
      </c>
      <c r="U61" s="1513">
        <v>1</v>
      </c>
      <c r="V61" s="1513">
        <v>1</v>
      </c>
      <c r="W61" s="1513">
        <v>1</v>
      </c>
      <c r="X61" s="1513">
        <v>23.091046428782114</v>
      </c>
      <c r="Y61" s="592">
        <v>1</v>
      </c>
      <c r="Z61" s="1512">
        <v>0</v>
      </c>
      <c r="AA61" s="1513">
        <v>0</v>
      </c>
      <c r="AB61" s="1513">
        <v>0</v>
      </c>
      <c r="AC61" s="1513">
        <v>0</v>
      </c>
      <c r="AD61" s="1513">
        <v>273.23409414345298</v>
      </c>
      <c r="AE61" s="592">
        <v>0</v>
      </c>
      <c r="AF61" s="517">
        <v>8.3647838880815932</v>
      </c>
      <c r="BP61">
        <f t="shared" si="12"/>
        <v>1.0002622003863435</v>
      </c>
    </row>
    <row r="62" spans="2:80" x14ac:dyDescent="0.2">
      <c r="B62" s="563">
        <v>2047</v>
      </c>
      <c r="C62" s="566">
        <v>162352.82643157447</v>
      </c>
      <c r="D62" s="1484">
        <v>4138.5142530939775</v>
      </c>
      <c r="E62" s="1484">
        <v>4471.5256884965929</v>
      </c>
      <c r="F62" s="1484">
        <v>19390.188411207753</v>
      </c>
      <c r="G62" s="1484">
        <v>38355.613680487062</v>
      </c>
      <c r="H62" s="1485">
        <v>9670.1466757864982</v>
      </c>
      <c r="I62" s="1478">
        <f t="shared" si="10"/>
        <v>0</v>
      </c>
      <c r="J62" s="567">
        <f t="shared" si="11"/>
        <v>0</v>
      </c>
      <c r="K62" s="567">
        <f t="shared" si="13"/>
        <v>0</v>
      </c>
      <c r="L62" s="567">
        <f t="shared" si="14"/>
        <v>0</v>
      </c>
      <c r="M62" s="1493">
        <f t="shared" si="15"/>
        <v>0</v>
      </c>
      <c r="N62" s="1499">
        <v>8.3626360753536968</v>
      </c>
      <c r="O62" s="1500">
        <f t="shared" si="17"/>
        <v>9.6974507232008769</v>
      </c>
      <c r="P62" s="1500">
        <f t="shared" si="16"/>
        <v>9.7545618510456436</v>
      </c>
      <c r="Q62" s="1500">
        <v>11.360002653939874</v>
      </c>
      <c r="R62" s="1500">
        <v>10.295571756569824</v>
      </c>
      <c r="S62" s="568">
        <v>11.845919586676727</v>
      </c>
      <c r="T62" s="1514">
        <v>1</v>
      </c>
      <c r="U62" s="1515">
        <v>1</v>
      </c>
      <c r="V62" s="1515">
        <v>1</v>
      </c>
      <c r="W62" s="1515">
        <v>1</v>
      </c>
      <c r="X62" s="1515">
        <v>23.188167003281986</v>
      </c>
      <c r="Y62" s="565">
        <v>1</v>
      </c>
      <c r="Z62" s="1514">
        <v>0</v>
      </c>
      <c r="AA62" s="1515">
        <v>0</v>
      </c>
      <c r="AB62" s="1515">
        <v>0</v>
      </c>
      <c r="AC62" s="1515">
        <v>0</v>
      </c>
      <c r="AD62" s="1515">
        <v>273.40712880144025</v>
      </c>
      <c r="AE62" s="565">
        <v>0</v>
      </c>
      <c r="AF62" s="517">
        <v>8.3642395706199331</v>
      </c>
      <c r="BP62">
        <f t="shared" si="12"/>
        <v>1.0001917451927582</v>
      </c>
    </row>
    <row r="63" spans="2:80" x14ac:dyDescent="0.2">
      <c r="B63" s="563">
        <v>2048</v>
      </c>
      <c r="C63" s="566">
        <v>162352.82643157447</v>
      </c>
      <c r="D63" s="1484">
        <v>4138.5142530939775</v>
      </c>
      <c r="E63" s="1484">
        <v>4471.5256884965929</v>
      </c>
      <c r="F63" s="1484">
        <v>19707.93012980037</v>
      </c>
      <c r="G63" s="1484">
        <v>37818.541584400024</v>
      </c>
      <c r="H63" s="1485">
        <v>9192.3057827405573</v>
      </c>
      <c r="I63" s="1478">
        <f t="shared" si="10"/>
        <v>0</v>
      </c>
      <c r="J63" s="567">
        <f t="shared" si="11"/>
        <v>0</v>
      </c>
      <c r="K63" s="567">
        <f t="shared" si="13"/>
        <v>0</v>
      </c>
      <c r="L63" s="567">
        <f t="shared" si="14"/>
        <v>0</v>
      </c>
      <c r="M63" s="1493">
        <f t="shared" si="15"/>
        <v>0</v>
      </c>
      <c r="N63" s="1499">
        <v>8.3626809372727955</v>
      </c>
      <c r="O63" s="1500">
        <f t="shared" si="17"/>
        <v>9.6975027458221987</v>
      </c>
      <c r="P63" s="1500">
        <f t="shared" si="16"/>
        <v>9.7546141800434221</v>
      </c>
      <c r="Q63" s="1500">
        <v>11.420573681588891</v>
      </c>
      <c r="R63" s="1500">
        <v>10.358958254404776</v>
      </c>
      <c r="S63" s="568">
        <v>11.945387966065917</v>
      </c>
      <c r="T63" s="1514">
        <v>1</v>
      </c>
      <c r="U63" s="1515">
        <v>1</v>
      </c>
      <c r="V63" s="1515">
        <v>1</v>
      </c>
      <c r="W63" s="1515">
        <v>1</v>
      </c>
      <c r="X63" s="1515">
        <v>23.285288618472396</v>
      </c>
      <c r="Y63" s="565">
        <v>1</v>
      </c>
      <c r="Z63" s="1514">
        <v>0</v>
      </c>
      <c r="AA63" s="1515">
        <v>0</v>
      </c>
      <c r="AB63" s="1515">
        <v>0</v>
      </c>
      <c r="AC63" s="1515">
        <v>0</v>
      </c>
      <c r="AD63" s="1515">
        <v>273.58016345942752</v>
      </c>
      <c r="AE63" s="565">
        <v>0</v>
      </c>
      <c r="AF63" s="517">
        <v>8.3636577473296541</v>
      </c>
      <c r="BP63">
        <f t="shared" si="12"/>
        <v>1.0001168058502035</v>
      </c>
    </row>
    <row r="64" spans="2:80" x14ac:dyDescent="0.2">
      <c r="B64" s="563">
        <v>2049</v>
      </c>
      <c r="C64" s="566">
        <v>162352.82643157447</v>
      </c>
      <c r="D64" s="1484">
        <v>4138.5142530939775</v>
      </c>
      <c r="E64" s="1484">
        <v>4471.5256884965929</v>
      </c>
      <c r="F64" s="1484">
        <v>20025.671848392987</v>
      </c>
      <c r="G64" s="1484">
        <v>37281.469488312985</v>
      </c>
      <c r="H64" s="1485">
        <v>8714.4648896946164</v>
      </c>
      <c r="I64" s="1478">
        <f t="shared" si="10"/>
        <v>0</v>
      </c>
      <c r="J64" s="567">
        <f t="shared" si="11"/>
        <v>0</v>
      </c>
      <c r="K64" s="567">
        <f t="shared" si="13"/>
        <v>0</v>
      </c>
      <c r="L64" s="567">
        <f t="shared" si="14"/>
        <v>0</v>
      </c>
      <c r="M64" s="1493">
        <f t="shared" si="15"/>
        <v>0</v>
      </c>
      <c r="N64" s="1499">
        <v>8.3627257991918924</v>
      </c>
      <c r="O64" s="1500">
        <f t="shared" si="17"/>
        <v>9.6975547684435206</v>
      </c>
      <c r="P64" s="1500">
        <f t="shared" si="16"/>
        <v>9.754666509041197</v>
      </c>
      <c r="Q64" s="1500">
        <v>11.481145358455208</v>
      </c>
      <c r="R64" s="1500">
        <v>10.422345431725688</v>
      </c>
      <c r="S64" s="568">
        <v>12.04485741197708</v>
      </c>
      <c r="T64" s="1514">
        <v>1</v>
      </c>
      <c r="U64" s="1515">
        <v>1</v>
      </c>
      <c r="V64" s="1515">
        <v>1</v>
      </c>
      <c r="W64" s="1515">
        <v>1</v>
      </c>
      <c r="X64" s="1515">
        <v>23.382411274353345</v>
      </c>
      <c r="Y64" s="565">
        <v>1</v>
      </c>
      <c r="Z64" s="1514">
        <v>0</v>
      </c>
      <c r="AA64" s="1515">
        <v>0</v>
      </c>
      <c r="AB64" s="1515">
        <v>0</v>
      </c>
      <c r="AC64" s="1515">
        <v>0</v>
      </c>
      <c r="AD64" s="1515">
        <v>273.7531981174148</v>
      </c>
      <c r="AE64" s="565">
        <v>0</v>
      </c>
      <c r="AF64" s="517">
        <v>8.3630552503225122</v>
      </c>
      <c r="BP64">
        <f t="shared" si="12"/>
        <v>1.0000393951850786</v>
      </c>
    </row>
    <row r="65" spans="2:69" ht="13.5" thickBot="1" x14ac:dyDescent="0.25">
      <c r="B65" s="569">
        <v>2050</v>
      </c>
      <c r="C65" s="572">
        <v>162352.82643157447</v>
      </c>
      <c r="D65" s="1486">
        <v>4138.5142530939775</v>
      </c>
      <c r="E65" s="1486">
        <v>4471.5256884965929</v>
      </c>
      <c r="F65" s="1486">
        <v>20343.41356698575</v>
      </c>
      <c r="G65" s="1486">
        <v>36744.397392226005</v>
      </c>
      <c r="H65" s="1487">
        <v>8236.6239966488502</v>
      </c>
      <c r="I65" s="1479">
        <f t="shared" si="10"/>
        <v>0</v>
      </c>
      <c r="J65" s="573">
        <f t="shared" si="11"/>
        <v>0</v>
      </c>
      <c r="K65" s="573">
        <f t="shared" si="13"/>
        <v>0</v>
      </c>
      <c r="L65" s="573">
        <f t="shared" si="14"/>
        <v>0</v>
      </c>
      <c r="M65" s="1494">
        <f t="shared" si="15"/>
        <v>0</v>
      </c>
      <c r="N65" s="1501">
        <v>8.3627706611109911</v>
      </c>
      <c r="O65" s="1502">
        <f t="shared" si="17"/>
        <v>9.6976067910648442</v>
      </c>
      <c r="P65" s="1502">
        <f t="shared" si="16"/>
        <v>9.7547188380389755</v>
      </c>
      <c r="Q65" s="1505">
        <v>11.541717684538837</v>
      </c>
      <c r="R65" s="1505">
        <v>10.485733288532556</v>
      </c>
      <c r="S65" s="581">
        <v>12.144327924410211</v>
      </c>
      <c r="T65" s="1516">
        <v>1</v>
      </c>
      <c r="U65" s="1517">
        <v>1</v>
      </c>
      <c r="V65" s="1517">
        <v>1</v>
      </c>
      <c r="W65" s="1517">
        <v>1</v>
      </c>
      <c r="X65" s="1517">
        <v>23.479534970924853</v>
      </c>
      <c r="Y65" s="571">
        <v>1</v>
      </c>
      <c r="Z65" s="1516">
        <v>0</v>
      </c>
      <c r="AA65" s="1517">
        <v>0</v>
      </c>
      <c r="AB65" s="1517">
        <v>0</v>
      </c>
      <c r="AC65" s="1517">
        <v>0</v>
      </c>
      <c r="AD65" s="1517">
        <v>273.92623277540213</v>
      </c>
      <c r="AE65" s="571">
        <v>0</v>
      </c>
      <c r="AF65" s="517">
        <v>8.3627706611109911</v>
      </c>
      <c r="BP65">
        <f t="shared" si="12"/>
        <v>1</v>
      </c>
      <c r="BQ65" s="517">
        <f>O65/N65</f>
        <v>1.1596164936294595</v>
      </c>
    </row>
    <row r="66" spans="2:69" ht="13.5" thickBot="1" x14ac:dyDescent="0.25">
      <c r="C66" s="518"/>
      <c r="D66" s="518"/>
      <c r="F66" s="518"/>
    </row>
    <row r="67" spans="2:69" ht="13.5" thickBot="1" x14ac:dyDescent="0.25">
      <c r="B67" s="599"/>
      <c r="C67" s="600" t="s">
        <v>204</v>
      </c>
      <c r="D67" s="518"/>
      <c r="F67" s="518"/>
    </row>
    <row r="68" spans="2:69" x14ac:dyDescent="0.2">
      <c r="F68" s="597"/>
      <c r="G68" s="598"/>
      <c r="H68" s="597"/>
      <c r="I68" s="597"/>
      <c r="J68" s="597"/>
      <c r="K68" s="597"/>
      <c r="L68" s="597"/>
      <c r="M68" s="597"/>
      <c r="N68" s="597"/>
      <c r="O68" s="1400"/>
      <c r="P68" s="1400"/>
      <c r="Q68" s="1400"/>
      <c r="R68" s="1400"/>
      <c r="S68" s="1400"/>
    </row>
    <row r="69" spans="2:69" x14ac:dyDescent="0.2">
      <c r="D69" s="600"/>
      <c r="F69" s="597"/>
      <c r="G69" s="598"/>
      <c r="H69" s="597"/>
      <c r="I69" s="597"/>
      <c r="J69" s="597"/>
      <c r="K69" s="597"/>
      <c r="L69" s="597"/>
      <c r="M69" s="597"/>
      <c r="N69" s="597"/>
      <c r="O69" s="1400"/>
      <c r="P69" s="1400"/>
      <c r="Q69" s="1400"/>
      <c r="R69" s="1400"/>
      <c r="S69" s="1400"/>
    </row>
    <row r="70" spans="2:69" x14ac:dyDescent="0.2">
      <c r="B70" s="601"/>
      <c r="F70" s="597"/>
      <c r="G70" s="598"/>
      <c r="H70" s="597"/>
      <c r="I70" s="597"/>
      <c r="J70" s="597"/>
      <c r="K70" s="597"/>
      <c r="L70" s="597"/>
      <c r="M70" s="597"/>
      <c r="N70" s="597"/>
      <c r="O70" s="1400"/>
      <c r="P70" s="1400"/>
      <c r="Q70" s="1400"/>
      <c r="R70" s="1400"/>
      <c r="S70" s="1400"/>
    </row>
    <row r="71" spans="2:69" x14ac:dyDescent="0.2">
      <c r="B71" s="601"/>
      <c r="C71" s="601"/>
      <c r="D71" s="601"/>
      <c r="F71" s="597"/>
      <c r="G71" s="598"/>
      <c r="H71" s="597"/>
      <c r="I71" s="597"/>
      <c r="J71" s="597"/>
      <c r="K71" s="597"/>
      <c r="L71" s="597"/>
      <c r="M71" s="597"/>
      <c r="N71" s="597"/>
      <c r="O71" s="1400"/>
      <c r="P71" s="1400"/>
      <c r="Q71" s="1400"/>
      <c r="R71" s="1400"/>
      <c r="S71" s="1400"/>
    </row>
    <row r="72" spans="2:69" x14ac:dyDescent="0.2">
      <c r="F72" s="597"/>
      <c r="G72" s="598"/>
      <c r="H72" s="597"/>
      <c r="I72" s="597"/>
      <c r="J72" s="597"/>
      <c r="K72" s="597"/>
      <c r="L72" s="597"/>
      <c r="M72" s="597"/>
      <c r="N72" s="597"/>
      <c r="O72" s="1400"/>
      <c r="P72" s="1400"/>
      <c r="Q72" s="1400"/>
      <c r="R72" s="1400"/>
      <c r="S72" s="1400"/>
    </row>
    <row r="73" spans="2:69" x14ac:dyDescent="0.2">
      <c r="F73" s="597"/>
      <c r="G73" s="598"/>
      <c r="H73" s="597"/>
      <c r="I73" s="597"/>
      <c r="J73" s="597"/>
      <c r="K73" s="597"/>
      <c r="L73" s="597"/>
      <c r="M73" s="597"/>
      <c r="N73" s="597"/>
      <c r="O73" s="1400"/>
      <c r="P73" s="1400"/>
      <c r="Q73" s="1400"/>
      <c r="R73" s="1400"/>
      <c r="S73" s="1400"/>
    </row>
    <row r="74" spans="2:69" x14ac:dyDescent="0.2">
      <c r="F74" s="597"/>
      <c r="G74" s="598"/>
      <c r="H74" s="597"/>
      <c r="I74" s="597"/>
      <c r="J74" s="597"/>
      <c r="K74" s="597"/>
      <c r="L74" s="597"/>
      <c r="M74" s="597"/>
      <c r="N74" s="597"/>
      <c r="O74" s="1400"/>
      <c r="P74" s="1400"/>
      <c r="Q74" s="1400"/>
      <c r="R74" s="1400"/>
      <c r="S74" s="1400"/>
    </row>
    <row r="75" spans="2:69" x14ac:dyDescent="0.2">
      <c r="F75" s="597"/>
      <c r="G75" s="598"/>
      <c r="H75" s="597"/>
      <c r="I75" s="597"/>
      <c r="J75" s="597"/>
      <c r="K75" s="597"/>
      <c r="L75" s="597"/>
      <c r="M75" s="597"/>
      <c r="N75" s="597"/>
      <c r="O75" s="1400"/>
      <c r="P75" s="1400"/>
      <c r="Q75" s="1400"/>
      <c r="R75" s="1400"/>
      <c r="S75" s="1400"/>
    </row>
    <row r="76" spans="2:69" x14ac:dyDescent="0.2">
      <c r="F76" s="597"/>
      <c r="G76" s="598"/>
      <c r="H76" s="597"/>
      <c r="I76" s="597"/>
      <c r="J76" s="597"/>
      <c r="K76" s="597"/>
      <c r="L76" s="597"/>
      <c r="M76" s="597"/>
      <c r="N76" s="597"/>
      <c r="O76" s="1400"/>
      <c r="P76" s="1400"/>
      <c r="Q76" s="1400"/>
      <c r="R76" s="1400"/>
      <c r="S76" s="1400"/>
    </row>
    <row r="77" spans="2:69" x14ac:dyDescent="0.2">
      <c r="F77" s="597"/>
      <c r="G77" s="598"/>
      <c r="H77" s="597"/>
      <c r="I77" s="597"/>
      <c r="J77" s="597"/>
      <c r="K77" s="597"/>
      <c r="L77" s="597"/>
      <c r="M77" s="597"/>
      <c r="N77" s="597"/>
      <c r="O77" s="1400"/>
      <c r="P77" s="1400"/>
      <c r="Q77" s="1400"/>
      <c r="R77" s="1400"/>
      <c r="S77" s="1400"/>
    </row>
    <row r="78" spans="2:69" x14ac:dyDescent="0.2">
      <c r="F78" s="597"/>
      <c r="G78" s="598"/>
      <c r="H78" s="597"/>
      <c r="I78" s="597"/>
      <c r="J78" s="597"/>
      <c r="K78" s="597"/>
      <c r="L78" s="597"/>
      <c r="M78" s="597"/>
      <c r="N78" s="597"/>
      <c r="O78" s="1400"/>
      <c r="P78" s="1400"/>
      <c r="Q78" s="1400"/>
      <c r="R78" s="1400"/>
      <c r="S78" s="1400"/>
    </row>
    <row r="79" spans="2:69" x14ac:dyDescent="0.2">
      <c r="F79" s="597"/>
      <c r="G79" s="598"/>
      <c r="H79" s="597"/>
      <c r="I79" s="597"/>
      <c r="J79" s="597"/>
      <c r="K79" s="597"/>
      <c r="L79" s="597"/>
      <c r="M79" s="597"/>
      <c r="N79" s="597"/>
      <c r="O79" s="1400"/>
      <c r="P79" s="1400"/>
      <c r="Q79" s="1400"/>
      <c r="R79" s="1400"/>
      <c r="S79" s="1400"/>
    </row>
    <row r="80" spans="2:69" x14ac:dyDescent="0.2">
      <c r="F80" s="597"/>
      <c r="G80" s="598"/>
      <c r="H80" s="597"/>
      <c r="I80" s="597"/>
      <c r="J80" s="597"/>
      <c r="K80" s="597"/>
      <c r="L80" s="597"/>
      <c r="M80" s="597"/>
      <c r="N80" s="597"/>
      <c r="O80" s="1400"/>
      <c r="P80" s="1400"/>
      <c r="Q80" s="1400"/>
      <c r="R80" s="1400"/>
      <c r="S80" s="1400"/>
    </row>
    <row r="81" spans="6:19" x14ac:dyDescent="0.2">
      <c r="F81" s="597"/>
      <c r="G81" s="598"/>
      <c r="H81" s="597"/>
      <c r="I81" s="597"/>
      <c r="J81" s="597"/>
      <c r="K81" s="597"/>
      <c r="L81" s="597"/>
      <c r="M81" s="597"/>
      <c r="N81" s="597"/>
      <c r="O81" s="1400"/>
      <c r="P81" s="1400"/>
      <c r="Q81" s="1400"/>
      <c r="R81" s="1400"/>
      <c r="S81" s="1400"/>
    </row>
    <row r="82" spans="6:19" x14ac:dyDescent="0.2">
      <c r="F82" s="597"/>
      <c r="G82" s="598"/>
      <c r="H82" s="597"/>
      <c r="I82" s="597"/>
      <c r="J82" s="597"/>
      <c r="K82" s="597"/>
      <c r="L82" s="597"/>
      <c r="M82" s="597"/>
      <c r="N82" s="597"/>
      <c r="O82" s="1400"/>
      <c r="P82" s="1400"/>
      <c r="Q82" s="1400"/>
      <c r="R82" s="1400"/>
      <c r="S82" s="1400"/>
    </row>
    <row r="83" spans="6:19" x14ac:dyDescent="0.2">
      <c r="F83" s="597"/>
      <c r="G83" s="598"/>
      <c r="H83" s="597"/>
      <c r="I83" s="597"/>
      <c r="J83" s="597"/>
      <c r="K83" s="597"/>
      <c r="L83" s="597"/>
      <c r="M83" s="597"/>
      <c r="N83" s="597"/>
      <c r="O83" s="1400"/>
      <c r="P83" s="1400"/>
      <c r="Q83" s="1400"/>
      <c r="R83" s="1400"/>
      <c r="S83" s="1400"/>
    </row>
    <row r="84" spans="6:19" x14ac:dyDescent="0.2">
      <c r="F84" s="597"/>
      <c r="G84" s="598"/>
      <c r="H84" s="597"/>
      <c r="I84" s="597"/>
      <c r="J84" s="597"/>
      <c r="K84" s="597"/>
      <c r="L84" s="597"/>
      <c r="M84" s="597"/>
      <c r="N84" s="597"/>
      <c r="O84" s="1400"/>
      <c r="P84" s="1400"/>
      <c r="Q84" s="1400"/>
      <c r="R84" s="1400"/>
      <c r="S84" s="1400"/>
    </row>
    <row r="85" spans="6:19" x14ac:dyDescent="0.2">
      <c r="F85" s="597"/>
      <c r="G85" s="598"/>
      <c r="H85" s="597"/>
      <c r="I85" s="597"/>
      <c r="J85" s="597"/>
      <c r="K85" s="597"/>
      <c r="L85" s="597"/>
      <c r="M85" s="597"/>
      <c r="N85" s="597"/>
      <c r="O85" s="1400"/>
      <c r="P85" s="1400"/>
      <c r="Q85" s="1400"/>
      <c r="R85" s="1400"/>
      <c r="S85" s="1400"/>
    </row>
    <row r="86" spans="6:19" x14ac:dyDescent="0.2">
      <c r="F86" s="597"/>
      <c r="G86" s="598"/>
      <c r="H86" s="597"/>
      <c r="I86" s="597"/>
      <c r="J86" s="597"/>
      <c r="K86" s="597"/>
      <c r="L86" s="597"/>
      <c r="M86" s="597"/>
      <c r="N86" s="597"/>
      <c r="O86" s="1400"/>
      <c r="P86" s="1400"/>
      <c r="Q86" s="1400"/>
      <c r="R86" s="1400"/>
      <c r="S86" s="1400"/>
    </row>
    <row r="87" spans="6:19" x14ac:dyDescent="0.2">
      <c r="F87" s="597"/>
      <c r="G87" s="598"/>
      <c r="H87" s="597"/>
      <c r="I87" s="597"/>
      <c r="J87" s="597"/>
      <c r="K87" s="597"/>
      <c r="L87" s="597"/>
      <c r="M87" s="597"/>
      <c r="N87" s="597"/>
      <c r="O87" s="1400"/>
      <c r="P87" s="1400"/>
      <c r="Q87" s="1400"/>
      <c r="R87" s="1400"/>
      <c r="S87" s="1400"/>
    </row>
    <row r="88" spans="6:19" x14ac:dyDescent="0.2">
      <c r="F88" s="597"/>
      <c r="G88" s="598"/>
      <c r="H88" s="597"/>
      <c r="I88" s="597"/>
      <c r="J88" s="597"/>
      <c r="K88" s="597"/>
      <c r="L88" s="597"/>
      <c r="M88" s="597"/>
      <c r="N88" s="597"/>
      <c r="O88" s="1400"/>
      <c r="P88" s="1400"/>
      <c r="Q88" s="1400"/>
      <c r="R88" s="1400"/>
      <c r="S88" s="1400"/>
    </row>
    <row r="89" spans="6:19" x14ac:dyDescent="0.2">
      <c r="F89" s="597"/>
      <c r="G89" s="598"/>
      <c r="H89" s="597"/>
      <c r="I89" s="597"/>
      <c r="J89" s="597"/>
      <c r="K89" s="597"/>
      <c r="L89" s="597"/>
      <c r="M89" s="597"/>
      <c r="N89" s="597"/>
      <c r="O89" s="1400"/>
      <c r="P89" s="1400"/>
      <c r="Q89" s="1400"/>
      <c r="R89" s="1400"/>
      <c r="S89" s="1400"/>
    </row>
    <row r="90" spans="6:19" x14ac:dyDescent="0.2">
      <c r="F90" s="597"/>
      <c r="G90" s="598"/>
      <c r="H90" s="597"/>
      <c r="I90" s="597"/>
      <c r="J90" s="597"/>
      <c r="K90" s="597"/>
      <c r="L90" s="597"/>
      <c r="M90" s="597"/>
      <c r="N90" s="597"/>
      <c r="O90" s="1400"/>
      <c r="P90" s="1400"/>
      <c r="Q90" s="1400"/>
      <c r="R90" s="1400"/>
      <c r="S90" s="1400"/>
    </row>
    <row r="91" spans="6:19" x14ac:dyDescent="0.2">
      <c r="F91" s="597"/>
      <c r="G91" s="598"/>
      <c r="H91" s="597"/>
      <c r="I91" s="597"/>
      <c r="J91" s="597"/>
      <c r="K91" s="597"/>
      <c r="L91" s="597"/>
      <c r="M91" s="597"/>
      <c r="N91" s="597"/>
      <c r="O91" s="1400"/>
      <c r="P91" s="1400"/>
      <c r="Q91" s="1400"/>
      <c r="R91" s="1400"/>
      <c r="S91" s="1400"/>
    </row>
    <row r="92" spans="6:19" x14ac:dyDescent="0.2">
      <c r="F92" s="597"/>
      <c r="G92" s="598"/>
      <c r="H92" s="597"/>
      <c r="I92" s="597"/>
      <c r="J92" s="597"/>
      <c r="K92" s="597"/>
      <c r="L92" s="597"/>
      <c r="M92" s="597"/>
      <c r="N92" s="597"/>
      <c r="O92" s="1400"/>
      <c r="P92" s="1400"/>
      <c r="Q92" s="1400"/>
      <c r="R92" s="1400"/>
      <c r="S92" s="1400"/>
    </row>
    <row r="93" spans="6:19" x14ac:dyDescent="0.2">
      <c r="F93" s="597"/>
      <c r="G93" s="598"/>
      <c r="H93" s="597"/>
      <c r="I93" s="597"/>
      <c r="J93" s="597"/>
      <c r="K93" s="597"/>
      <c r="L93" s="597"/>
      <c r="M93" s="597"/>
      <c r="N93" s="597"/>
      <c r="O93" s="1400"/>
      <c r="P93" s="1400"/>
      <c r="Q93" s="1400"/>
      <c r="R93" s="1400"/>
      <c r="S93" s="1400"/>
    </row>
    <row r="94" spans="6:19" x14ac:dyDescent="0.2">
      <c r="F94" s="597"/>
      <c r="G94" s="598"/>
      <c r="H94" s="597"/>
      <c r="I94" s="597"/>
      <c r="J94" s="597"/>
      <c r="K94" s="597"/>
      <c r="L94" s="597"/>
      <c r="M94" s="597"/>
      <c r="N94" s="597"/>
      <c r="O94" s="1400"/>
      <c r="P94" s="1400"/>
      <c r="Q94" s="1400"/>
      <c r="R94" s="1400"/>
      <c r="S94" s="1400"/>
    </row>
    <row r="95" spans="6:19" x14ac:dyDescent="0.2">
      <c r="F95" s="597"/>
      <c r="G95" s="598"/>
      <c r="H95" s="597"/>
      <c r="I95" s="597"/>
      <c r="J95" s="597"/>
      <c r="K95" s="597"/>
      <c r="L95" s="597"/>
      <c r="M95" s="597"/>
      <c r="N95" s="597"/>
      <c r="O95" s="1400"/>
      <c r="P95" s="1400"/>
      <c r="Q95" s="1400"/>
      <c r="R95" s="1400"/>
      <c r="S95" s="1400"/>
    </row>
    <row r="96" spans="6:19" x14ac:dyDescent="0.2">
      <c r="F96" s="597"/>
      <c r="G96" s="598"/>
      <c r="H96" s="597"/>
      <c r="I96" s="597"/>
      <c r="J96" s="597"/>
      <c r="K96" s="597"/>
      <c r="L96" s="597"/>
      <c r="M96" s="597"/>
      <c r="N96" s="597"/>
      <c r="O96" s="1400"/>
      <c r="P96" s="1400"/>
      <c r="Q96" s="1400"/>
      <c r="R96" s="1400"/>
      <c r="S96" s="1400"/>
    </row>
    <row r="97" spans="6:19" x14ac:dyDescent="0.2">
      <c r="F97" s="597"/>
      <c r="G97" s="598"/>
      <c r="H97" s="597"/>
      <c r="I97" s="597"/>
      <c r="J97" s="597"/>
      <c r="K97" s="597"/>
      <c r="L97" s="597"/>
      <c r="M97" s="597"/>
      <c r="N97" s="597"/>
      <c r="O97" s="1400"/>
      <c r="P97" s="1400"/>
      <c r="Q97" s="1400"/>
      <c r="R97" s="1400"/>
      <c r="S97" s="1400"/>
    </row>
    <row r="98" spans="6:19" x14ac:dyDescent="0.2">
      <c r="F98" s="597"/>
      <c r="G98" s="598"/>
      <c r="H98" s="597"/>
      <c r="I98" s="597"/>
      <c r="J98" s="597"/>
      <c r="K98" s="597"/>
      <c r="L98" s="597"/>
      <c r="M98" s="597"/>
      <c r="N98" s="597"/>
      <c r="O98" s="597"/>
      <c r="P98" s="597"/>
    </row>
    <row r="99" spans="6:19" x14ac:dyDescent="0.2">
      <c r="F99" s="597"/>
      <c r="G99" s="598"/>
      <c r="H99" s="597"/>
      <c r="I99" s="597"/>
      <c r="J99" s="597"/>
      <c r="K99" s="597"/>
      <c r="L99" s="597"/>
      <c r="M99" s="597"/>
      <c r="N99" s="597"/>
      <c r="O99" s="597"/>
      <c r="P99" s="597"/>
    </row>
    <row r="100" spans="6:19" x14ac:dyDescent="0.2">
      <c r="F100" s="597"/>
      <c r="G100" s="598"/>
      <c r="H100" s="597"/>
      <c r="I100" s="597"/>
      <c r="J100" s="597"/>
      <c r="K100" s="597"/>
      <c r="L100" s="597"/>
      <c r="M100" s="597"/>
      <c r="N100" s="597"/>
      <c r="O100" s="597"/>
      <c r="P100" s="597"/>
    </row>
    <row r="101" spans="6:19" x14ac:dyDescent="0.2">
      <c r="F101" s="597"/>
      <c r="G101" s="598"/>
      <c r="H101" s="597"/>
      <c r="I101" s="597"/>
      <c r="J101" s="597"/>
      <c r="K101" s="597"/>
      <c r="L101" s="597"/>
      <c r="M101" s="597"/>
      <c r="N101" s="597"/>
      <c r="O101" s="597"/>
      <c r="P101" s="597"/>
    </row>
    <row r="102" spans="6:19" x14ac:dyDescent="0.2">
      <c r="F102" s="597"/>
      <c r="G102" s="598"/>
      <c r="H102" s="597"/>
      <c r="I102" s="597"/>
      <c r="J102" s="597"/>
      <c r="K102" s="597"/>
      <c r="L102" s="597"/>
      <c r="M102" s="597"/>
      <c r="N102" s="597"/>
      <c r="O102" s="597"/>
      <c r="P102" s="597"/>
    </row>
    <row r="103" spans="6:19" x14ac:dyDescent="0.2">
      <c r="F103" s="597"/>
      <c r="G103" s="598"/>
      <c r="H103" s="597"/>
      <c r="I103" s="597"/>
      <c r="J103" s="597"/>
      <c r="K103" s="597"/>
      <c r="L103" s="597"/>
      <c r="M103" s="597"/>
      <c r="N103" s="597"/>
      <c r="O103" s="597"/>
      <c r="P103" s="597"/>
    </row>
    <row r="104" spans="6:19" x14ac:dyDescent="0.2">
      <c r="F104" s="597"/>
      <c r="G104" s="598"/>
      <c r="H104" s="597"/>
      <c r="I104" s="597"/>
      <c r="J104" s="597"/>
      <c r="K104" s="597"/>
      <c r="L104" s="597"/>
      <c r="M104" s="597"/>
      <c r="N104" s="597"/>
      <c r="O104" s="597"/>
      <c r="P104" s="597"/>
    </row>
    <row r="105" spans="6:19" x14ac:dyDescent="0.2">
      <c r="F105" s="597"/>
      <c r="G105" s="598"/>
      <c r="H105" s="597"/>
      <c r="I105" s="597"/>
      <c r="J105" s="597"/>
      <c r="K105" s="597"/>
      <c r="L105" s="597"/>
      <c r="M105" s="597"/>
      <c r="N105" s="597"/>
      <c r="O105" s="597"/>
      <c r="P105" s="597"/>
    </row>
    <row r="106" spans="6:19" x14ac:dyDescent="0.2">
      <c r="F106" s="597"/>
      <c r="G106" s="598"/>
      <c r="H106" s="597"/>
      <c r="I106" s="597"/>
      <c r="J106" s="597"/>
      <c r="K106" s="597"/>
      <c r="L106" s="597"/>
      <c r="M106" s="597"/>
      <c r="N106" s="597"/>
      <c r="O106" s="597"/>
      <c r="P106" s="597"/>
    </row>
    <row r="107" spans="6:19" x14ac:dyDescent="0.2">
      <c r="F107" s="597"/>
      <c r="G107" s="598"/>
      <c r="H107" s="597"/>
      <c r="I107" s="597"/>
      <c r="J107" s="597"/>
      <c r="K107" s="597"/>
      <c r="L107" s="597"/>
      <c r="M107" s="597"/>
      <c r="N107" s="597"/>
      <c r="O107" s="597"/>
      <c r="P107" s="597"/>
    </row>
    <row r="108" spans="6:19" x14ac:dyDescent="0.2">
      <c r="F108" s="597"/>
      <c r="G108" s="598"/>
      <c r="H108" s="597"/>
      <c r="I108" s="597"/>
      <c r="J108" s="597"/>
      <c r="K108" s="597"/>
      <c r="L108" s="597"/>
      <c r="M108" s="597"/>
      <c r="N108" s="597"/>
      <c r="O108" s="597"/>
      <c r="P108" s="597"/>
    </row>
    <row r="109" spans="6:19" x14ac:dyDescent="0.2">
      <c r="F109" s="597"/>
      <c r="G109" s="598"/>
      <c r="H109" s="597"/>
      <c r="I109" s="597"/>
      <c r="J109" s="597"/>
      <c r="K109" s="597"/>
      <c r="L109" s="597"/>
      <c r="M109" s="597"/>
      <c r="N109" s="597"/>
      <c r="O109" s="597"/>
      <c r="P109" s="597"/>
    </row>
    <row r="110" spans="6:19" x14ac:dyDescent="0.2">
      <c r="F110" s="597"/>
      <c r="G110" s="598"/>
      <c r="H110" s="597"/>
      <c r="I110" s="597"/>
      <c r="J110" s="597"/>
      <c r="K110" s="597"/>
      <c r="L110" s="597"/>
      <c r="M110" s="597"/>
      <c r="N110" s="597"/>
      <c r="O110" s="597"/>
      <c r="P110" s="597"/>
    </row>
    <row r="111" spans="6:19" x14ac:dyDescent="0.2">
      <c r="F111" s="597"/>
      <c r="G111" s="598"/>
      <c r="H111" s="597"/>
      <c r="I111" s="597"/>
      <c r="J111" s="597"/>
      <c r="K111" s="597"/>
      <c r="L111" s="597"/>
      <c r="M111" s="597"/>
      <c r="N111" s="597"/>
      <c r="O111" s="597"/>
      <c r="P111" s="597"/>
    </row>
    <row r="112" spans="6:19"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0" zoomScaleNormal="100" workbookViewId="0">
      <selection activeCell="O46" sqref="O46"/>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8" t="s">
        <v>251</v>
      </c>
      <c r="C1" s="1"/>
      <c r="D1" s="1"/>
      <c r="F1" s="1"/>
    </row>
    <row r="2" spans="1:27" ht="5.25" customHeight="1" thickBot="1" x14ac:dyDescent="0.3">
      <c r="B2" s="58"/>
      <c r="C2" s="1"/>
      <c r="D2" s="518"/>
      <c r="F2" s="1"/>
    </row>
    <row r="3" spans="1:27" ht="13.5" thickBot="1" x14ac:dyDescent="0.25">
      <c r="B3" s="1" t="s">
        <v>233</v>
      </c>
      <c r="D3" s="871" t="s">
        <v>234</v>
      </c>
      <c r="E3" s="838">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939"/>
      <c r="I6" s="815"/>
      <c r="J6" s="1543" t="s">
        <v>76</v>
      </c>
      <c r="K6" s="1544"/>
      <c r="L6" s="1545" t="s">
        <v>83</v>
      </c>
      <c r="M6" s="1546"/>
      <c r="N6" s="1545" t="s">
        <v>109</v>
      </c>
      <c r="O6" s="1546"/>
      <c r="P6"/>
      <c r="R6" s="3"/>
    </row>
    <row r="7" spans="1:27" ht="27" customHeight="1" thickBot="1" x14ac:dyDescent="0.3">
      <c r="B7" s="41"/>
      <c r="C7" s="819" t="s">
        <v>75</v>
      </c>
      <c r="D7" s="817"/>
      <c r="E7" s="818"/>
      <c r="F7" s="42" t="s">
        <v>217</v>
      </c>
      <c r="G7" s="42" t="s">
        <v>216</v>
      </c>
      <c r="H7" s="940" t="s">
        <v>273</v>
      </c>
      <c r="I7" s="816" t="s">
        <v>81</v>
      </c>
      <c r="J7" s="706" t="s">
        <v>292</v>
      </c>
      <c r="K7" s="707" t="s">
        <v>293</v>
      </c>
      <c r="L7" s="46" t="s">
        <v>113</v>
      </c>
      <c r="M7" s="47" t="s">
        <v>84</v>
      </c>
      <c r="N7" s="48" t="s">
        <v>95</v>
      </c>
      <c r="O7" s="49" t="s">
        <v>112</v>
      </c>
      <c r="P7"/>
    </row>
    <row r="8" spans="1:27" ht="13.5" thickTop="1" x14ac:dyDescent="0.2">
      <c r="B8" s="222" t="s">
        <v>69</v>
      </c>
      <c r="C8" s="627" t="s">
        <v>185</v>
      </c>
      <c r="D8" s="628"/>
      <c r="E8" s="629"/>
      <c r="F8" s="225" t="s">
        <v>5</v>
      </c>
      <c r="G8" s="225" t="s">
        <v>235</v>
      </c>
      <c r="H8" s="999" t="b">
        <f>IF(AND(F8="Electricity",G8="N/A"),TRUE,FALSE)</f>
        <v>0</v>
      </c>
      <c r="I8" s="226"/>
      <c r="J8" s="227"/>
      <c r="K8" s="228"/>
      <c r="L8" s="229"/>
      <c r="M8" s="230"/>
      <c r="N8" s="231">
        <v>0</v>
      </c>
      <c r="O8" s="43">
        <v>350</v>
      </c>
    </row>
    <row r="9" spans="1:27" x14ac:dyDescent="0.2">
      <c r="B9" s="223" t="s">
        <v>65</v>
      </c>
      <c r="C9" s="624" t="s">
        <v>339</v>
      </c>
      <c r="D9" s="625"/>
      <c r="E9" s="626"/>
      <c r="F9" s="232" t="s">
        <v>5</v>
      </c>
      <c r="G9" s="232" t="s">
        <v>235</v>
      </c>
      <c r="H9" s="1000" t="b">
        <f t="shared" ref="H9:H13" si="0">IF(AND(F9="Electricity",G9="N/A"),TRUE,FALSE)</f>
        <v>0</v>
      </c>
      <c r="I9" s="544">
        <v>2020</v>
      </c>
      <c r="J9" s="233">
        <v>0</v>
      </c>
      <c r="K9" s="234">
        <v>0.5</v>
      </c>
      <c r="L9" s="235">
        <v>5000</v>
      </c>
      <c r="M9" s="236">
        <v>100</v>
      </c>
      <c r="N9" s="237">
        <v>0</v>
      </c>
      <c r="O9" s="44">
        <v>350</v>
      </c>
    </row>
    <row r="10" spans="1:27" x14ac:dyDescent="0.2">
      <c r="B10" s="223" t="s">
        <v>66</v>
      </c>
      <c r="C10" s="624" t="s">
        <v>331</v>
      </c>
      <c r="D10" s="625"/>
      <c r="E10" s="626"/>
      <c r="F10" s="232" t="s">
        <v>5</v>
      </c>
      <c r="G10" s="232" t="s">
        <v>235</v>
      </c>
      <c r="H10" s="1000" t="b">
        <f t="shared" si="0"/>
        <v>0</v>
      </c>
      <c r="I10" s="544">
        <v>2020</v>
      </c>
      <c r="J10" s="233">
        <v>0</v>
      </c>
      <c r="K10" s="234">
        <v>0.5</v>
      </c>
      <c r="L10" s="235">
        <v>5000</v>
      </c>
      <c r="M10" s="236">
        <v>100</v>
      </c>
      <c r="N10" s="237">
        <v>0</v>
      </c>
      <c r="O10" s="44">
        <v>350</v>
      </c>
    </row>
    <row r="11" spans="1:27" x14ac:dyDescent="0.2">
      <c r="B11" s="633" t="s">
        <v>67</v>
      </c>
      <c r="C11" s="634" t="s">
        <v>333</v>
      </c>
      <c r="D11" s="635"/>
      <c r="E11" s="636"/>
      <c r="F11" s="637" t="s">
        <v>5</v>
      </c>
      <c r="G11" s="637" t="s">
        <v>6</v>
      </c>
      <c r="H11" s="1001" t="b">
        <f t="shared" si="0"/>
        <v>0</v>
      </c>
      <c r="I11" s="544">
        <v>2020</v>
      </c>
      <c r="J11" s="638">
        <v>0</v>
      </c>
      <c r="K11" s="234">
        <v>0.5</v>
      </c>
      <c r="L11" s="639">
        <v>5000</v>
      </c>
      <c r="M11" s="640">
        <v>100</v>
      </c>
      <c r="N11" s="641">
        <v>0</v>
      </c>
      <c r="O11" s="642">
        <v>350</v>
      </c>
    </row>
    <row r="12" spans="1:27" x14ac:dyDescent="0.2">
      <c r="B12" s="633" t="s">
        <v>207</v>
      </c>
      <c r="C12" s="634" t="s">
        <v>334</v>
      </c>
      <c r="D12" s="635"/>
      <c r="E12" s="636"/>
      <c r="F12" s="637" t="s">
        <v>6</v>
      </c>
      <c r="G12" s="637" t="s">
        <v>235</v>
      </c>
      <c r="H12" s="1001" t="b">
        <f t="shared" si="0"/>
        <v>1</v>
      </c>
      <c r="I12" s="544">
        <v>2020</v>
      </c>
      <c r="J12" s="638">
        <v>0</v>
      </c>
      <c r="K12" s="234">
        <v>0.5</v>
      </c>
      <c r="L12" s="639">
        <v>5000</v>
      </c>
      <c r="M12" s="640">
        <v>100</v>
      </c>
      <c r="N12" s="641">
        <v>0</v>
      </c>
      <c r="O12" s="642">
        <v>350</v>
      </c>
    </row>
    <row r="13" spans="1:27" ht="13.5" thickBot="1" x14ac:dyDescent="0.25">
      <c r="B13" s="224" t="s">
        <v>208</v>
      </c>
      <c r="C13" s="630" t="s">
        <v>336</v>
      </c>
      <c r="D13" s="631"/>
      <c r="E13" s="632"/>
      <c r="F13" s="238" t="s">
        <v>209</v>
      </c>
      <c r="G13" s="238" t="s">
        <v>235</v>
      </c>
      <c r="H13" s="1002" t="b">
        <f t="shared" si="0"/>
        <v>0</v>
      </c>
      <c r="I13" s="553">
        <v>2020</v>
      </c>
      <c r="J13" s="239">
        <v>0</v>
      </c>
      <c r="K13" s="234">
        <v>0.5</v>
      </c>
      <c r="L13" s="240">
        <v>5000</v>
      </c>
      <c r="M13" s="241">
        <v>100</v>
      </c>
      <c r="N13" s="242">
        <v>0</v>
      </c>
      <c r="O13" s="45">
        <v>350</v>
      </c>
    </row>
    <row r="14" spans="1:27" ht="15.75" x14ac:dyDescent="0.25">
      <c r="B14" s="12"/>
      <c r="C14" s="517" t="s">
        <v>274</v>
      </c>
      <c r="D14" s="1"/>
      <c r="F14" s="1"/>
    </row>
    <row r="15" spans="1:27" ht="15.75" thickBot="1" x14ac:dyDescent="0.25">
      <c r="B15" s="50" t="s">
        <v>119</v>
      </c>
      <c r="C15" s="4"/>
      <c r="D15" s="4"/>
      <c r="G15" s="5"/>
      <c r="H15" s="6"/>
      <c r="I15" s="1547"/>
      <c r="J15" s="1547"/>
      <c r="K15" s="6"/>
      <c r="L15" s="6"/>
      <c r="M15" s="6"/>
      <c r="N15" s="6"/>
      <c r="O15" s="6"/>
      <c r="P15" s="6"/>
    </row>
    <row r="16" spans="1:27" s="250" customFormat="1" ht="13.5" thickBot="1" x14ac:dyDescent="0.25">
      <c r="A16" s="3"/>
      <c r="B16" s="249"/>
      <c r="C16" s="4"/>
      <c r="E16" s="2"/>
      <c r="F16" s="3"/>
      <c r="G16" s="5"/>
      <c r="H16" s="6"/>
      <c r="I16" s="11"/>
      <c r="J16" s="11"/>
      <c r="K16" s="6"/>
      <c r="L16" s="6"/>
      <c r="M16" s="6"/>
      <c r="N16" s="6"/>
      <c r="O16" s="6"/>
      <c r="P16" s="6"/>
      <c r="T16" s="874" t="s">
        <v>236</v>
      </c>
      <c r="U16" s="517" t="s">
        <v>237</v>
      </c>
      <c r="Z16" s="1007"/>
      <c r="AA16" s="517" t="s">
        <v>271</v>
      </c>
    </row>
    <row r="17" spans="1:31" s="250" customFormat="1" x14ac:dyDescent="0.2">
      <c r="A17" s="3"/>
      <c r="B17" s="249"/>
      <c r="C17" s="251"/>
      <c r="E17" s="2"/>
      <c r="F17" s="3"/>
      <c r="G17" s="5"/>
      <c r="H17" s="6"/>
      <c r="I17" s="11"/>
      <c r="J17" s="11"/>
      <c r="K17" s="6"/>
      <c r="L17" s="6"/>
      <c r="M17" s="6"/>
      <c r="N17" s="6"/>
      <c r="O17" s="6"/>
      <c r="P17" s="6"/>
      <c r="U17" s="517" t="s">
        <v>238</v>
      </c>
      <c r="AA17" s="517" t="s">
        <v>272</v>
      </c>
    </row>
    <row r="18" spans="1:31" s="250" customFormat="1" ht="13.5" thickBot="1" x14ac:dyDescent="0.25">
      <c r="A18" s="3"/>
      <c r="B18" s="248"/>
      <c r="C18" s="247"/>
      <c r="E18" s="2"/>
      <c r="F18" s="247"/>
      <c r="G18" s="5"/>
      <c r="H18" s="6"/>
      <c r="I18" s="11"/>
      <c r="J18" s="11"/>
      <c r="K18" s="6"/>
      <c r="L18" s="6"/>
      <c r="M18" s="6"/>
      <c r="N18" s="6"/>
      <c r="O18" s="6"/>
      <c r="P18" s="6"/>
    </row>
    <row r="19" spans="1:31" s="250" customFormat="1" ht="16.5" thickBot="1" x14ac:dyDescent="0.3">
      <c r="A19" s="3"/>
      <c r="B19" s="849"/>
      <c r="C19" s="1536" t="s">
        <v>227</v>
      </c>
      <c r="D19" s="1537"/>
      <c r="E19" s="1537"/>
      <c r="F19" s="1537"/>
      <c r="G19" s="1537"/>
      <c r="H19" s="1537"/>
      <c r="I19" s="1537" t="s">
        <v>228</v>
      </c>
      <c r="J19" s="1537"/>
      <c r="K19" s="1537"/>
      <c r="L19" s="1537"/>
      <c r="M19" s="1538"/>
      <c r="N19" s="1539" t="s">
        <v>229</v>
      </c>
      <c r="O19" s="1540"/>
      <c r="P19" s="1540"/>
      <c r="Q19" s="1540"/>
      <c r="R19" s="1540"/>
      <c r="S19" s="1541"/>
      <c r="T19" s="1539" t="s">
        <v>230</v>
      </c>
      <c r="U19" s="1540"/>
      <c r="V19" s="1540"/>
      <c r="W19" s="1540"/>
      <c r="X19" s="1540"/>
      <c r="Y19" s="1541"/>
      <c r="Z19" s="1539" t="s">
        <v>232</v>
      </c>
      <c r="AA19" s="1540"/>
      <c r="AB19" s="1540"/>
      <c r="AC19" s="1540"/>
      <c r="AD19" s="1540"/>
      <c r="AE19" s="1541"/>
    </row>
    <row r="20" spans="1:31" s="250" customFormat="1" ht="13.5" thickBot="1" x14ac:dyDescent="0.25">
      <c r="A20" s="3"/>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s="250" customFormat="1" ht="13.5" thickBot="1" x14ac:dyDescent="0.25">
      <c r="A21" s="3"/>
      <c r="B21" s="865" t="s">
        <v>3</v>
      </c>
      <c r="C21" s="867"/>
      <c r="D21" s="1394" t="str">
        <f>INDEX($C$9:$C$13,MATCH(D20,$B$9:$B$13,0))</f>
        <v>Adv Conv</v>
      </c>
      <c r="E21" s="1394" t="str">
        <f t="shared" ref="E21:H21" si="1">INDEX($C$9:$C$13,MATCH(E20,$B$9:$B$13,0))</f>
        <v>ISG</v>
      </c>
      <c r="F21" s="1394" t="str">
        <f t="shared" si="1"/>
        <v>PHEV</v>
      </c>
      <c r="G21" s="1394" t="str">
        <f t="shared" si="1"/>
        <v>BEV</v>
      </c>
      <c r="H21" s="1395" t="str">
        <f t="shared" si="1"/>
        <v>FCHEV</v>
      </c>
      <c r="I21" s="866">
        <v>0</v>
      </c>
      <c r="J21" s="856">
        <v>0</v>
      </c>
      <c r="K21" s="855">
        <v>0</v>
      </c>
      <c r="L21" s="856">
        <v>0</v>
      </c>
      <c r="M21" s="857">
        <v>0</v>
      </c>
      <c r="N21" s="858"/>
      <c r="O21" s="1394" t="str">
        <f>INDEX($C$9:$C$13,MATCH(O20,$B$9:$B$13,0))</f>
        <v>Adv Conv</v>
      </c>
      <c r="P21" s="1394" t="str">
        <f t="shared" ref="P21:S21" si="2">INDEX($C$9:$C$13,MATCH(P20,$B$9:$B$13,0))</f>
        <v>ISG</v>
      </c>
      <c r="Q21" s="1394" t="str">
        <f t="shared" si="2"/>
        <v>PHEV</v>
      </c>
      <c r="R21" s="1394" t="str">
        <f t="shared" si="2"/>
        <v>BEV</v>
      </c>
      <c r="S21" s="1395" t="str">
        <f t="shared" si="2"/>
        <v>FCHEV</v>
      </c>
      <c r="T21" s="859"/>
      <c r="U21" s="1394" t="str">
        <f>INDEX($C$9:$C$13,MATCH(U20,$B$9:$B$13,0))</f>
        <v>Adv Conv</v>
      </c>
      <c r="V21" s="1394" t="str">
        <f t="shared" ref="V21:Y21" si="3">INDEX($C$9:$C$13,MATCH(V20,$B$9:$B$13,0))</f>
        <v>ISG</v>
      </c>
      <c r="W21" s="1394" t="str">
        <f t="shared" si="3"/>
        <v>PHEV</v>
      </c>
      <c r="X21" s="1394" t="str">
        <f t="shared" si="3"/>
        <v>BEV</v>
      </c>
      <c r="Y21" s="1395" t="str">
        <f t="shared" si="3"/>
        <v>FCHEV</v>
      </c>
      <c r="Z21" s="858"/>
      <c r="AA21" s="1394" t="str">
        <f>INDEX($C$9:$C$13,MATCH(AA20,$B$9:$B$13,0))</f>
        <v>Adv Conv</v>
      </c>
      <c r="AB21" s="1394" t="str">
        <f t="shared" ref="AB21:AE21" si="4">INDEX($C$9:$C$13,MATCH(AB20,$B$9:$B$13,0))</f>
        <v>ISG</v>
      </c>
      <c r="AC21" s="1394" t="str">
        <f t="shared" si="4"/>
        <v>PHEV</v>
      </c>
      <c r="AD21" s="1394" t="str">
        <f t="shared" si="4"/>
        <v>BEV</v>
      </c>
      <c r="AE21" s="1395" t="str">
        <f t="shared" si="4"/>
        <v>FCHEV</v>
      </c>
    </row>
    <row r="22" spans="1:31" s="250" customFormat="1" x14ac:dyDescent="0.2">
      <c r="A22" s="3"/>
      <c r="B22" s="575">
        <v>2007</v>
      </c>
      <c r="C22" s="593">
        <v>136900</v>
      </c>
      <c r="D22" s="1482">
        <f t="shared" ref="D22:H24" si="5">D23</f>
        <v>1000000</v>
      </c>
      <c r="E22" s="1482">
        <f t="shared" si="5"/>
        <v>1000000</v>
      </c>
      <c r="F22" s="1482">
        <f t="shared" si="5"/>
        <v>1000000</v>
      </c>
      <c r="G22" s="1482">
        <f t="shared" si="5"/>
        <v>1000000</v>
      </c>
      <c r="H22" s="1483">
        <f t="shared" si="5"/>
        <v>1000000</v>
      </c>
      <c r="I22" s="1477">
        <v>0</v>
      </c>
      <c r="J22" s="579">
        <v>0</v>
      </c>
      <c r="K22" s="579">
        <v>0</v>
      </c>
      <c r="L22" s="579">
        <v>0</v>
      </c>
      <c r="M22" s="1492">
        <v>0</v>
      </c>
      <c r="N22" s="1523">
        <v>5.48300341765977</v>
      </c>
      <c r="O22" s="1498">
        <f t="shared" ref="O22:W24" si="6">O23</f>
        <v>1</v>
      </c>
      <c r="P22" s="1498">
        <f t="shared" si="6"/>
        <v>1</v>
      </c>
      <c r="Q22" s="1498">
        <f t="shared" si="6"/>
        <v>1</v>
      </c>
      <c r="R22" s="1498">
        <f t="shared" si="6"/>
        <v>1</v>
      </c>
      <c r="S22" s="595">
        <f t="shared" si="6"/>
        <v>1</v>
      </c>
      <c r="T22" s="1512">
        <f t="shared" si="6"/>
        <v>1</v>
      </c>
      <c r="U22" s="1513">
        <f t="shared" si="6"/>
        <v>1</v>
      </c>
      <c r="V22" s="1513">
        <f t="shared" si="6"/>
        <v>1</v>
      </c>
      <c r="W22" s="1513">
        <f t="shared" si="6"/>
        <v>1</v>
      </c>
      <c r="X22" s="1513">
        <f t="shared" ref="X22:AE24" si="7">X23</f>
        <v>1</v>
      </c>
      <c r="Y22" s="592">
        <f t="shared" si="7"/>
        <v>1</v>
      </c>
      <c r="Z22" s="1512">
        <f t="shared" si="7"/>
        <v>0</v>
      </c>
      <c r="AA22" s="1513">
        <f t="shared" si="7"/>
        <v>0</v>
      </c>
      <c r="AB22" s="1513">
        <f t="shared" si="7"/>
        <v>0</v>
      </c>
      <c r="AC22" s="1513">
        <f t="shared" si="7"/>
        <v>0</v>
      </c>
      <c r="AD22" s="1513">
        <f t="shared" si="7"/>
        <v>0</v>
      </c>
      <c r="AE22" s="592">
        <f t="shared" si="7"/>
        <v>0</v>
      </c>
    </row>
    <row r="23" spans="1:31" s="250" customFormat="1" x14ac:dyDescent="0.2">
      <c r="A23" s="3"/>
      <c r="B23" s="563">
        <v>2008</v>
      </c>
      <c r="C23" s="566">
        <v>136900</v>
      </c>
      <c r="D23" s="1484">
        <f t="shared" si="5"/>
        <v>1000000</v>
      </c>
      <c r="E23" s="1484">
        <f t="shared" si="5"/>
        <v>1000000</v>
      </c>
      <c r="F23" s="1484">
        <f t="shared" si="5"/>
        <v>1000000</v>
      </c>
      <c r="G23" s="1484">
        <f t="shared" si="5"/>
        <v>1000000</v>
      </c>
      <c r="H23" s="1485">
        <f t="shared" si="5"/>
        <v>1000000</v>
      </c>
      <c r="I23" s="1478">
        <v>0</v>
      </c>
      <c r="J23" s="567">
        <v>0</v>
      </c>
      <c r="K23" s="567">
        <v>0</v>
      </c>
      <c r="L23" s="567">
        <v>0</v>
      </c>
      <c r="M23" s="1493">
        <v>0</v>
      </c>
      <c r="N23" s="1524">
        <v>5.48300341765977</v>
      </c>
      <c r="O23" s="1500">
        <f t="shared" si="6"/>
        <v>1</v>
      </c>
      <c r="P23" s="1500">
        <f t="shared" si="6"/>
        <v>1</v>
      </c>
      <c r="Q23" s="1500">
        <f t="shared" si="6"/>
        <v>1</v>
      </c>
      <c r="R23" s="1500">
        <f t="shared" si="6"/>
        <v>1</v>
      </c>
      <c r="S23" s="568">
        <f t="shared" si="6"/>
        <v>1</v>
      </c>
      <c r="T23" s="1514">
        <f t="shared" si="6"/>
        <v>1</v>
      </c>
      <c r="U23" s="1515">
        <f t="shared" si="6"/>
        <v>1</v>
      </c>
      <c r="V23" s="1515">
        <f t="shared" si="6"/>
        <v>1</v>
      </c>
      <c r="W23" s="1515">
        <f t="shared" si="6"/>
        <v>1</v>
      </c>
      <c r="X23" s="1515">
        <f t="shared" si="7"/>
        <v>1</v>
      </c>
      <c r="Y23" s="565">
        <f t="shared" si="7"/>
        <v>1</v>
      </c>
      <c r="Z23" s="1514">
        <f t="shared" si="7"/>
        <v>0</v>
      </c>
      <c r="AA23" s="1515">
        <f t="shared" si="7"/>
        <v>0</v>
      </c>
      <c r="AB23" s="1515">
        <f t="shared" si="7"/>
        <v>0</v>
      </c>
      <c r="AC23" s="1515">
        <f t="shared" si="7"/>
        <v>0</v>
      </c>
      <c r="AD23" s="1515">
        <f t="shared" si="7"/>
        <v>0</v>
      </c>
      <c r="AE23" s="565">
        <f t="shared" si="7"/>
        <v>0</v>
      </c>
    </row>
    <row r="24" spans="1:31" s="250" customFormat="1" x14ac:dyDescent="0.2">
      <c r="A24" s="3"/>
      <c r="B24" s="563">
        <v>2009</v>
      </c>
      <c r="C24" s="566">
        <v>136900</v>
      </c>
      <c r="D24" s="1484">
        <f t="shared" si="5"/>
        <v>1000000</v>
      </c>
      <c r="E24" s="1484">
        <f t="shared" si="5"/>
        <v>1000000</v>
      </c>
      <c r="F24" s="1484">
        <f t="shared" si="5"/>
        <v>1000000</v>
      </c>
      <c r="G24" s="1484">
        <f t="shared" si="5"/>
        <v>1000000</v>
      </c>
      <c r="H24" s="1485">
        <f t="shared" si="5"/>
        <v>1000000</v>
      </c>
      <c r="I24" s="1478">
        <v>0</v>
      </c>
      <c r="J24" s="567">
        <v>0</v>
      </c>
      <c r="K24" s="567">
        <v>0</v>
      </c>
      <c r="L24" s="567">
        <v>0</v>
      </c>
      <c r="M24" s="1493">
        <v>0</v>
      </c>
      <c r="N24" s="1524">
        <v>5.48300341765977</v>
      </c>
      <c r="O24" s="1500">
        <f t="shared" si="6"/>
        <v>1</v>
      </c>
      <c r="P24" s="1500">
        <f t="shared" si="6"/>
        <v>1</v>
      </c>
      <c r="Q24" s="1500">
        <f t="shared" si="6"/>
        <v>1</v>
      </c>
      <c r="R24" s="1500">
        <f t="shared" si="6"/>
        <v>1</v>
      </c>
      <c r="S24" s="568">
        <f t="shared" si="6"/>
        <v>1</v>
      </c>
      <c r="T24" s="1514">
        <f t="shared" si="6"/>
        <v>1</v>
      </c>
      <c r="U24" s="1515">
        <f t="shared" si="6"/>
        <v>1</v>
      </c>
      <c r="V24" s="1515">
        <f t="shared" si="6"/>
        <v>1</v>
      </c>
      <c r="W24" s="1515">
        <f t="shared" si="6"/>
        <v>1</v>
      </c>
      <c r="X24" s="1515">
        <f t="shared" si="7"/>
        <v>1</v>
      </c>
      <c r="Y24" s="565">
        <f t="shared" si="7"/>
        <v>1</v>
      </c>
      <c r="Z24" s="1514">
        <f t="shared" si="7"/>
        <v>0</v>
      </c>
      <c r="AA24" s="1515">
        <f t="shared" si="7"/>
        <v>0</v>
      </c>
      <c r="AB24" s="1515">
        <f t="shared" si="7"/>
        <v>0</v>
      </c>
      <c r="AC24" s="1515">
        <f t="shared" si="7"/>
        <v>0</v>
      </c>
      <c r="AD24" s="1515">
        <f t="shared" si="7"/>
        <v>0</v>
      </c>
      <c r="AE24" s="565">
        <f t="shared" si="7"/>
        <v>0</v>
      </c>
    </row>
    <row r="25" spans="1:31" s="250" customFormat="1" ht="13.5" thickBot="1" x14ac:dyDescent="0.25">
      <c r="A25" s="3"/>
      <c r="B25" s="569">
        <v>2010</v>
      </c>
      <c r="C25" s="1522">
        <v>136900</v>
      </c>
      <c r="D25" s="1486">
        <f t="shared" ref="D25:D33" si="8">D26</f>
        <v>1000000</v>
      </c>
      <c r="E25" s="1486">
        <f t="shared" ref="E25:E33" si="9">E26</f>
        <v>1000000</v>
      </c>
      <c r="F25" s="1486">
        <f t="shared" ref="F25:F33" si="10">F26</f>
        <v>1000000</v>
      </c>
      <c r="G25" s="1486">
        <f t="shared" ref="G25:G33" si="11">G26</f>
        <v>1000000</v>
      </c>
      <c r="H25" s="1487">
        <f t="shared" ref="H25:H33" si="12">H26</f>
        <v>1000000</v>
      </c>
      <c r="I25" s="1479">
        <v>0</v>
      </c>
      <c r="J25" s="573">
        <v>0</v>
      </c>
      <c r="K25" s="573">
        <v>0</v>
      </c>
      <c r="L25" s="573">
        <v>0</v>
      </c>
      <c r="M25" s="1494">
        <v>0</v>
      </c>
      <c r="N25" s="1525">
        <v>5.4834889906932611</v>
      </c>
      <c r="O25" s="1502">
        <v>1</v>
      </c>
      <c r="P25" s="1502">
        <v>1</v>
      </c>
      <c r="Q25" s="1502">
        <v>1</v>
      </c>
      <c r="R25" s="1502">
        <v>1</v>
      </c>
      <c r="S25" s="574">
        <v>1</v>
      </c>
      <c r="T25" s="1516">
        <v>1</v>
      </c>
      <c r="U25" s="1517">
        <v>1</v>
      </c>
      <c r="V25" s="1517">
        <v>1</v>
      </c>
      <c r="W25" s="1517">
        <v>1</v>
      </c>
      <c r="X25" s="1517">
        <v>1</v>
      </c>
      <c r="Y25" s="571">
        <v>1</v>
      </c>
      <c r="Z25" s="1516">
        <v>0</v>
      </c>
      <c r="AA25" s="1517">
        <v>0</v>
      </c>
      <c r="AB25" s="1517">
        <v>0</v>
      </c>
      <c r="AC25" s="1517">
        <v>0</v>
      </c>
      <c r="AD25" s="1517">
        <v>0</v>
      </c>
      <c r="AE25" s="571">
        <v>0</v>
      </c>
    </row>
    <row r="26" spans="1:31" s="250" customFormat="1" x14ac:dyDescent="0.2">
      <c r="A26" s="3"/>
      <c r="B26" s="575">
        <v>2011</v>
      </c>
      <c r="C26" s="578">
        <v>136900</v>
      </c>
      <c r="D26" s="1488">
        <f t="shared" si="8"/>
        <v>1000000</v>
      </c>
      <c r="E26" s="1488">
        <f t="shared" si="9"/>
        <v>1000000</v>
      </c>
      <c r="F26" s="1488">
        <f t="shared" si="10"/>
        <v>1000000</v>
      </c>
      <c r="G26" s="1488">
        <f t="shared" si="11"/>
        <v>1000000</v>
      </c>
      <c r="H26" s="1489">
        <f t="shared" si="12"/>
        <v>1000000</v>
      </c>
      <c r="I26" s="1477">
        <v>0</v>
      </c>
      <c r="J26" s="579">
        <v>0</v>
      </c>
      <c r="K26" s="579">
        <v>0</v>
      </c>
      <c r="L26" s="579">
        <v>0</v>
      </c>
      <c r="M26" s="1492">
        <v>0</v>
      </c>
      <c r="N26" s="1526">
        <v>5.6013476577675876</v>
      </c>
      <c r="O26" s="1504">
        <v>1</v>
      </c>
      <c r="P26" s="1504">
        <v>1</v>
      </c>
      <c r="Q26" s="1504">
        <v>1</v>
      </c>
      <c r="R26" s="1504">
        <v>1</v>
      </c>
      <c r="S26" s="580">
        <v>1</v>
      </c>
      <c r="T26" s="1518">
        <v>1</v>
      </c>
      <c r="U26" s="1519">
        <v>1</v>
      </c>
      <c r="V26" s="1519">
        <v>1</v>
      </c>
      <c r="W26" s="1519">
        <v>1</v>
      </c>
      <c r="X26" s="1519">
        <v>1</v>
      </c>
      <c r="Y26" s="577">
        <v>1</v>
      </c>
      <c r="Z26" s="1518">
        <v>0</v>
      </c>
      <c r="AA26" s="1519">
        <v>0</v>
      </c>
      <c r="AB26" s="1519">
        <v>0</v>
      </c>
      <c r="AC26" s="1519">
        <v>0</v>
      </c>
      <c r="AD26" s="1519">
        <v>0</v>
      </c>
      <c r="AE26" s="577">
        <v>0</v>
      </c>
    </row>
    <row r="27" spans="1:31" s="250" customFormat="1" x14ac:dyDescent="0.2">
      <c r="A27" s="3"/>
      <c r="B27" s="563">
        <v>2012</v>
      </c>
      <c r="C27" s="566">
        <v>136900</v>
      </c>
      <c r="D27" s="1484">
        <f t="shared" si="8"/>
        <v>1000000</v>
      </c>
      <c r="E27" s="1484">
        <f t="shared" si="9"/>
        <v>1000000</v>
      </c>
      <c r="F27" s="1484">
        <f t="shared" si="10"/>
        <v>1000000</v>
      </c>
      <c r="G27" s="1484">
        <f t="shared" si="11"/>
        <v>1000000</v>
      </c>
      <c r="H27" s="1485">
        <f t="shared" si="12"/>
        <v>1000000</v>
      </c>
      <c r="I27" s="1478">
        <v>0</v>
      </c>
      <c r="J27" s="567">
        <v>0</v>
      </c>
      <c r="K27" s="567">
        <v>0</v>
      </c>
      <c r="L27" s="567">
        <v>0</v>
      </c>
      <c r="M27" s="1493">
        <v>0</v>
      </c>
      <c r="N27" s="1524">
        <v>5.6461863528933494</v>
      </c>
      <c r="O27" s="1500">
        <v>1</v>
      </c>
      <c r="P27" s="1500">
        <v>1</v>
      </c>
      <c r="Q27" s="1500">
        <v>1</v>
      </c>
      <c r="R27" s="1500">
        <v>1</v>
      </c>
      <c r="S27" s="568">
        <v>1</v>
      </c>
      <c r="T27" s="1514">
        <v>1</v>
      </c>
      <c r="U27" s="1515">
        <v>1</v>
      </c>
      <c r="V27" s="1515">
        <v>1</v>
      </c>
      <c r="W27" s="1515">
        <v>1</v>
      </c>
      <c r="X27" s="1515">
        <v>1</v>
      </c>
      <c r="Y27" s="565">
        <v>1</v>
      </c>
      <c r="Z27" s="1514">
        <v>0</v>
      </c>
      <c r="AA27" s="1515">
        <v>0</v>
      </c>
      <c r="AB27" s="1515">
        <v>0</v>
      </c>
      <c r="AC27" s="1515">
        <v>0</v>
      </c>
      <c r="AD27" s="1515">
        <v>0</v>
      </c>
      <c r="AE27" s="565">
        <v>0</v>
      </c>
    </row>
    <row r="28" spans="1:31" s="250" customFormat="1" x14ac:dyDescent="0.2">
      <c r="A28" s="3"/>
      <c r="B28" s="563">
        <v>2013</v>
      </c>
      <c r="C28" s="566">
        <v>136900</v>
      </c>
      <c r="D28" s="1484">
        <f t="shared" si="8"/>
        <v>1000000</v>
      </c>
      <c r="E28" s="1484">
        <f t="shared" si="9"/>
        <v>1000000</v>
      </c>
      <c r="F28" s="1484">
        <f t="shared" si="10"/>
        <v>1000000</v>
      </c>
      <c r="G28" s="1484">
        <f t="shared" si="11"/>
        <v>1000000</v>
      </c>
      <c r="H28" s="1485">
        <f t="shared" si="12"/>
        <v>1000000</v>
      </c>
      <c r="I28" s="1478">
        <v>0</v>
      </c>
      <c r="J28" s="567">
        <v>0</v>
      </c>
      <c r="K28" s="567">
        <v>0</v>
      </c>
      <c r="L28" s="567">
        <v>0</v>
      </c>
      <c r="M28" s="1493">
        <v>0</v>
      </c>
      <c r="N28" s="1524">
        <v>5.7385417874959348</v>
      </c>
      <c r="O28" s="1500">
        <v>1</v>
      </c>
      <c r="P28" s="1500">
        <v>1</v>
      </c>
      <c r="Q28" s="1500">
        <v>1</v>
      </c>
      <c r="R28" s="1500">
        <v>1</v>
      </c>
      <c r="S28" s="568">
        <v>1</v>
      </c>
      <c r="T28" s="1514">
        <v>1</v>
      </c>
      <c r="U28" s="1515">
        <v>1</v>
      </c>
      <c r="V28" s="1515">
        <v>1</v>
      </c>
      <c r="W28" s="1515">
        <v>1</v>
      </c>
      <c r="X28" s="1515">
        <v>1</v>
      </c>
      <c r="Y28" s="565">
        <v>1</v>
      </c>
      <c r="Z28" s="1514">
        <v>0</v>
      </c>
      <c r="AA28" s="1515">
        <v>0</v>
      </c>
      <c r="AB28" s="1515">
        <v>0</v>
      </c>
      <c r="AC28" s="1515">
        <v>0</v>
      </c>
      <c r="AD28" s="1515">
        <v>0</v>
      </c>
      <c r="AE28" s="565">
        <v>0</v>
      </c>
    </row>
    <row r="29" spans="1:31" s="250" customFormat="1" x14ac:dyDescent="0.2">
      <c r="A29" s="3"/>
      <c r="B29" s="563">
        <v>2014</v>
      </c>
      <c r="C29" s="566">
        <v>136900</v>
      </c>
      <c r="D29" s="1484">
        <f t="shared" si="8"/>
        <v>1000000</v>
      </c>
      <c r="E29" s="1484">
        <f t="shared" si="9"/>
        <v>1000000</v>
      </c>
      <c r="F29" s="1484">
        <f t="shared" si="10"/>
        <v>1000000</v>
      </c>
      <c r="G29" s="1484">
        <f t="shared" si="11"/>
        <v>1000000</v>
      </c>
      <c r="H29" s="1485">
        <f t="shared" si="12"/>
        <v>1000000</v>
      </c>
      <c r="I29" s="1478">
        <v>0</v>
      </c>
      <c r="J29" s="567">
        <v>0</v>
      </c>
      <c r="K29" s="567">
        <v>0</v>
      </c>
      <c r="L29" s="567">
        <v>0</v>
      </c>
      <c r="M29" s="1493">
        <v>0</v>
      </c>
      <c r="N29" s="1524">
        <v>5.8304231530010329</v>
      </c>
      <c r="O29" s="1500">
        <v>1</v>
      </c>
      <c r="P29" s="1500">
        <v>1</v>
      </c>
      <c r="Q29" s="1500">
        <v>1</v>
      </c>
      <c r="R29" s="1500">
        <v>1</v>
      </c>
      <c r="S29" s="568">
        <v>1</v>
      </c>
      <c r="T29" s="1514">
        <v>1</v>
      </c>
      <c r="U29" s="1515">
        <v>1</v>
      </c>
      <c r="V29" s="1515">
        <v>1</v>
      </c>
      <c r="W29" s="1515">
        <v>1</v>
      </c>
      <c r="X29" s="1515">
        <v>1</v>
      </c>
      <c r="Y29" s="565">
        <v>1</v>
      </c>
      <c r="Z29" s="1514">
        <v>0</v>
      </c>
      <c r="AA29" s="1515">
        <v>0</v>
      </c>
      <c r="AB29" s="1515">
        <v>0</v>
      </c>
      <c r="AC29" s="1515">
        <v>0</v>
      </c>
      <c r="AD29" s="1515">
        <v>0</v>
      </c>
      <c r="AE29" s="565">
        <v>0</v>
      </c>
    </row>
    <row r="30" spans="1:31" s="250" customFormat="1" ht="13.5" thickBot="1" x14ac:dyDescent="0.25">
      <c r="A30" s="3"/>
      <c r="B30" s="569">
        <v>2015</v>
      </c>
      <c r="C30" s="572">
        <v>136900</v>
      </c>
      <c r="D30" s="1486">
        <f t="shared" si="8"/>
        <v>1000000</v>
      </c>
      <c r="E30" s="1486">
        <f t="shared" si="9"/>
        <v>1000000</v>
      </c>
      <c r="F30" s="1486">
        <f t="shared" si="10"/>
        <v>1000000</v>
      </c>
      <c r="G30" s="1486">
        <f t="shared" si="11"/>
        <v>1000000</v>
      </c>
      <c r="H30" s="1487">
        <f t="shared" si="12"/>
        <v>1000000</v>
      </c>
      <c r="I30" s="1479">
        <v>0</v>
      </c>
      <c r="J30" s="573">
        <v>0</v>
      </c>
      <c r="K30" s="573">
        <v>0</v>
      </c>
      <c r="L30" s="573">
        <v>0</v>
      </c>
      <c r="M30" s="1494">
        <v>0</v>
      </c>
      <c r="N30" s="1525">
        <v>5.9816607409404146</v>
      </c>
      <c r="O30" s="1502">
        <v>1</v>
      </c>
      <c r="P30" s="1502">
        <v>1</v>
      </c>
      <c r="Q30" s="1505">
        <v>1</v>
      </c>
      <c r="R30" s="1505">
        <v>1</v>
      </c>
      <c r="S30" s="581">
        <v>1</v>
      </c>
      <c r="T30" s="1516">
        <v>1</v>
      </c>
      <c r="U30" s="1517">
        <v>1</v>
      </c>
      <c r="V30" s="1517">
        <v>1</v>
      </c>
      <c r="W30" s="1517">
        <v>1</v>
      </c>
      <c r="X30" s="1517">
        <v>1</v>
      </c>
      <c r="Y30" s="571">
        <v>1</v>
      </c>
      <c r="Z30" s="1516">
        <v>0</v>
      </c>
      <c r="AA30" s="1517">
        <v>0</v>
      </c>
      <c r="AB30" s="1517">
        <v>0</v>
      </c>
      <c r="AC30" s="1517">
        <v>0</v>
      </c>
      <c r="AD30" s="1517">
        <v>0</v>
      </c>
      <c r="AE30" s="571">
        <v>0</v>
      </c>
    </row>
    <row r="31" spans="1:31" s="250" customFormat="1" x14ac:dyDescent="0.2">
      <c r="A31" s="3"/>
      <c r="B31" s="575">
        <v>2016</v>
      </c>
      <c r="C31" s="578">
        <v>136900</v>
      </c>
      <c r="D31" s="1488">
        <f t="shared" si="8"/>
        <v>1000000</v>
      </c>
      <c r="E31" s="1488">
        <f t="shared" si="9"/>
        <v>1000000</v>
      </c>
      <c r="F31" s="1488">
        <f t="shared" si="10"/>
        <v>1000000</v>
      </c>
      <c r="G31" s="1488">
        <f t="shared" si="11"/>
        <v>1000000</v>
      </c>
      <c r="H31" s="1489">
        <f t="shared" si="12"/>
        <v>1000000</v>
      </c>
      <c r="I31" s="1477">
        <v>0</v>
      </c>
      <c r="J31" s="579">
        <v>0</v>
      </c>
      <c r="K31" s="579">
        <v>0</v>
      </c>
      <c r="L31" s="579">
        <v>0</v>
      </c>
      <c r="M31" s="1492">
        <v>0</v>
      </c>
      <c r="N31" s="1526">
        <v>6.1132116519066555</v>
      </c>
      <c r="O31" s="1500">
        <v>1</v>
      </c>
      <c r="P31" s="1500">
        <v>1</v>
      </c>
      <c r="Q31" s="1506">
        <v>1</v>
      </c>
      <c r="R31" s="1506">
        <v>1</v>
      </c>
      <c r="S31" s="582">
        <v>1</v>
      </c>
      <c r="T31" s="1518">
        <v>1</v>
      </c>
      <c r="U31" s="1519">
        <v>1</v>
      </c>
      <c r="V31" s="1519">
        <v>1</v>
      </c>
      <c r="W31" s="1519">
        <v>1</v>
      </c>
      <c r="X31" s="1519">
        <v>1</v>
      </c>
      <c r="Y31" s="577">
        <v>1</v>
      </c>
      <c r="Z31" s="1518">
        <v>0</v>
      </c>
      <c r="AA31" s="1519">
        <v>0</v>
      </c>
      <c r="AB31" s="1519">
        <v>0</v>
      </c>
      <c r="AC31" s="1519">
        <v>0</v>
      </c>
      <c r="AD31" s="1519">
        <v>0</v>
      </c>
      <c r="AE31" s="577">
        <v>0</v>
      </c>
    </row>
    <row r="32" spans="1:31" s="250" customFormat="1" x14ac:dyDescent="0.2">
      <c r="A32" s="3"/>
      <c r="B32" s="563">
        <v>2017</v>
      </c>
      <c r="C32" s="566">
        <v>136900</v>
      </c>
      <c r="D32" s="1484">
        <f t="shared" si="8"/>
        <v>1000000</v>
      </c>
      <c r="E32" s="1484">
        <f t="shared" si="9"/>
        <v>1000000</v>
      </c>
      <c r="F32" s="1484">
        <f t="shared" si="10"/>
        <v>1000000</v>
      </c>
      <c r="G32" s="1484">
        <f t="shared" si="11"/>
        <v>1000000</v>
      </c>
      <c r="H32" s="1485">
        <f t="shared" si="12"/>
        <v>1000000</v>
      </c>
      <c r="I32" s="1478">
        <v>0</v>
      </c>
      <c r="J32" s="567">
        <v>0</v>
      </c>
      <c r="K32" s="567">
        <v>0</v>
      </c>
      <c r="L32" s="567">
        <v>0</v>
      </c>
      <c r="M32" s="1493">
        <v>0</v>
      </c>
      <c r="N32" s="1524">
        <v>6.288278677366403</v>
      </c>
      <c r="O32" s="1500">
        <v>1</v>
      </c>
      <c r="P32" s="1500">
        <v>1</v>
      </c>
      <c r="Q32" s="1506">
        <v>1</v>
      </c>
      <c r="R32" s="1506">
        <v>1</v>
      </c>
      <c r="S32" s="582">
        <v>1</v>
      </c>
      <c r="T32" s="1514">
        <v>1</v>
      </c>
      <c r="U32" s="1515">
        <v>1</v>
      </c>
      <c r="V32" s="1515">
        <v>1</v>
      </c>
      <c r="W32" s="1515">
        <v>1</v>
      </c>
      <c r="X32" s="1515">
        <v>1</v>
      </c>
      <c r="Y32" s="565">
        <v>1</v>
      </c>
      <c r="Z32" s="1514">
        <v>0</v>
      </c>
      <c r="AA32" s="1515">
        <v>0</v>
      </c>
      <c r="AB32" s="1515">
        <v>0</v>
      </c>
      <c r="AC32" s="1515">
        <v>0</v>
      </c>
      <c r="AD32" s="1515">
        <v>0</v>
      </c>
      <c r="AE32" s="565">
        <v>0</v>
      </c>
    </row>
    <row r="33" spans="1:31" s="250" customFormat="1" x14ac:dyDescent="0.2">
      <c r="A33" s="3"/>
      <c r="B33" s="563">
        <v>2018</v>
      </c>
      <c r="C33" s="566">
        <v>136900</v>
      </c>
      <c r="D33" s="1484">
        <f t="shared" si="8"/>
        <v>1000000</v>
      </c>
      <c r="E33" s="1484">
        <f t="shared" si="9"/>
        <v>1000000</v>
      </c>
      <c r="F33" s="1484">
        <f t="shared" si="10"/>
        <v>1000000</v>
      </c>
      <c r="G33" s="1484">
        <f t="shared" si="11"/>
        <v>1000000</v>
      </c>
      <c r="H33" s="1485">
        <f t="shared" si="12"/>
        <v>1000000</v>
      </c>
      <c r="I33" s="1478">
        <v>0</v>
      </c>
      <c r="J33" s="567">
        <v>0</v>
      </c>
      <c r="K33" s="567">
        <v>0</v>
      </c>
      <c r="L33" s="567">
        <v>0</v>
      </c>
      <c r="M33" s="1493">
        <v>0</v>
      </c>
      <c r="N33" s="1524">
        <v>6.4711453217769002</v>
      </c>
      <c r="O33" s="1500">
        <v>1</v>
      </c>
      <c r="P33" s="1500">
        <v>1</v>
      </c>
      <c r="Q33" s="1506">
        <v>1</v>
      </c>
      <c r="R33" s="1506">
        <v>1</v>
      </c>
      <c r="S33" s="582">
        <v>1</v>
      </c>
      <c r="T33" s="1514">
        <v>1</v>
      </c>
      <c r="U33" s="1515">
        <v>1</v>
      </c>
      <c r="V33" s="1515">
        <v>1</v>
      </c>
      <c r="W33" s="1515">
        <v>1</v>
      </c>
      <c r="X33" s="1515">
        <v>1</v>
      </c>
      <c r="Y33" s="565">
        <v>1</v>
      </c>
      <c r="Z33" s="1514">
        <v>0</v>
      </c>
      <c r="AA33" s="1515">
        <v>0</v>
      </c>
      <c r="AB33" s="1515">
        <v>0</v>
      </c>
      <c r="AC33" s="1515">
        <v>0</v>
      </c>
      <c r="AD33" s="1515">
        <v>0</v>
      </c>
      <c r="AE33" s="565">
        <v>0</v>
      </c>
    </row>
    <row r="34" spans="1:31" s="250" customFormat="1" x14ac:dyDescent="0.2">
      <c r="A34" s="3"/>
      <c r="B34" s="563">
        <v>2019</v>
      </c>
      <c r="C34" s="566">
        <v>136900</v>
      </c>
      <c r="D34" s="1484">
        <v>1000000</v>
      </c>
      <c r="E34" s="1484">
        <v>1000000</v>
      </c>
      <c r="F34" s="1484">
        <v>1000000</v>
      </c>
      <c r="G34" s="1484">
        <v>1000000</v>
      </c>
      <c r="H34" s="1485">
        <v>1000000</v>
      </c>
      <c r="I34" s="1478">
        <v>0</v>
      </c>
      <c r="J34" s="567">
        <v>0</v>
      </c>
      <c r="K34" s="567">
        <v>0</v>
      </c>
      <c r="L34" s="567">
        <v>0</v>
      </c>
      <c r="M34" s="1493">
        <v>0</v>
      </c>
      <c r="N34" s="1524">
        <v>6.5140409362154905</v>
      </c>
      <c r="O34" s="1500">
        <v>1</v>
      </c>
      <c r="P34" s="1500">
        <v>1</v>
      </c>
      <c r="Q34" s="1506">
        <v>1</v>
      </c>
      <c r="R34" s="1506">
        <v>1</v>
      </c>
      <c r="S34" s="582">
        <v>1</v>
      </c>
      <c r="T34" s="1514">
        <v>1</v>
      </c>
      <c r="U34" s="1515">
        <v>1</v>
      </c>
      <c r="V34" s="1515">
        <v>1</v>
      </c>
      <c r="W34" s="1515">
        <v>1</v>
      </c>
      <c r="X34" s="1515">
        <v>1</v>
      </c>
      <c r="Y34" s="565">
        <v>1</v>
      </c>
      <c r="Z34" s="1514">
        <v>0</v>
      </c>
      <c r="AA34" s="1515">
        <v>0</v>
      </c>
      <c r="AB34" s="1515">
        <v>0</v>
      </c>
      <c r="AC34" s="1515">
        <v>0</v>
      </c>
      <c r="AD34" s="1515">
        <v>0</v>
      </c>
      <c r="AE34" s="565">
        <v>0</v>
      </c>
    </row>
    <row r="35" spans="1:31" s="250" customFormat="1" ht="13.5" thickBot="1" x14ac:dyDescent="0.25">
      <c r="A35" s="3"/>
      <c r="B35" s="569">
        <v>2020</v>
      </c>
      <c r="C35" s="572">
        <v>136900</v>
      </c>
      <c r="D35" s="1486">
        <v>1000000</v>
      </c>
      <c r="E35" s="1486">
        <v>1000000</v>
      </c>
      <c r="F35" s="1486">
        <v>1000000</v>
      </c>
      <c r="G35" s="1486">
        <v>1000000</v>
      </c>
      <c r="H35" s="1487">
        <v>1000000</v>
      </c>
      <c r="I35" s="1479">
        <v>0</v>
      </c>
      <c r="J35" s="573">
        <v>0</v>
      </c>
      <c r="K35" s="573">
        <v>0</v>
      </c>
      <c r="L35" s="573">
        <v>0</v>
      </c>
      <c r="M35" s="1494">
        <v>0</v>
      </c>
      <c r="N35" s="1525">
        <v>6.5740785776431485</v>
      </c>
      <c r="O35" s="1502">
        <v>1</v>
      </c>
      <c r="P35" s="1502">
        <v>1</v>
      </c>
      <c r="Q35" s="1505">
        <v>1</v>
      </c>
      <c r="R35" s="1505">
        <v>1</v>
      </c>
      <c r="S35" s="581">
        <v>1</v>
      </c>
      <c r="T35" s="1516">
        <v>1</v>
      </c>
      <c r="U35" s="1517">
        <v>1</v>
      </c>
      <c r="V35" s="1517">
        <v>1</v>
      </c>
      <c r="W35" s="1517">
        <v>1</v>
      </c>
      <c r="X35" s="1517">
        <v>1</v>
      </c>
      <c r="Y35" s="571">
        <v>1</v>
      </c>
      <c r="Z35" s="1516">
        <v>0</v>
      </c>
      <c r="AA35" s="1517">
        <v>0</v>
      </c>
      <c r="AB35" s="1517">
        <v>0</v>
      </c>
      <c r="AC35" s="1517">
        <v>0</v>
      </c>
      <c r="AD35" s="1517">
        <v>0</v>
      </c>
      <c r="AE35" s="571">
        <v>0</v>
      </c>
    </row>
    <row r="36" spans="1:31" s="250" customFormat="1" x14ac:dyDescent="0.2">
      <c r="A36" s="3"/>
      <c r="B36" s="575">
        <v>2021</v>
      </c>
      <c r="C36" s="578">
        <v>137205.78935754453</v>
      </c>
      <c r="D36" s="1488">
        <v>1120.5908150101168</v>
      </c>
      <c r="E36" s="1488">
        <v>2646.1603036609449</v>
      </c>
      <c r="F36" s="1488">
        <v>197847.31007079969</v>
      </c>
      <c r="G36" s="1488">
        <v>355973.77067591518</v>
      </c>
      <c r="H36" s="1489">
        <v>167338.80143623243</v>
      </c>
      <c r="I36" s="1477">
        <v>0</v>
      </c>
      <c r="J36" s="579">
        <v>0</v>
      </c>
      <c r="K36" s="579">
        <v>0</v>
      </c>
      <c r="L36" s="579">
        <v>0</v>
      </c>
      <c r="M36" s="1492">
        <v>0</v>
      </c>
      <c r="N36" s="1526">
        <v>6.5897255681426605</v>
      </c>
      <c r="O36" s="1504">
        <v>6.7242512479581897</v>
      </c>
      <c r="P36" s="1504">
        <v>6.7288896628175765</v>
      </c>
      <c r="Q36" s="1506">
        <v>5.5722798792496109</v>
      </c>
      <c r="R36" s="1506">
        <v>13.958422051102499</v>
      </c>
      <c r="S36" s="582">
        <v>6.8980820304901442</v>
      </c>
      <c r="T36" s="1518">
        <v>1</v>
      </c>
      <c r="U36" s="1519">
        <v>1</v>
      </c>
      <c r="V36" s="1519">
        <v>1</v>
      </c>
      <c r="W36" s="1519">
        <v>15.154641867398297</v>
      </c>
      <c r="X36" s="1519">
        <v>1</v>
      </c>
      <c r="Y36" s="577">
        <v>1</v>
      </c>
      <c r="Z36" s="1518">
        <v>0</v>
      </c>
      <c r="AA36" s="1519">
        <v>0</v>
      </c>
      <c r="AB36" s="1519">
        <v>0</v>
      </c>
      <c r="AC36" s="1519">
        <v>133.9395870534625</v>
      </c>
      <c r="AD36" s="1519">
        <v>237.48610419627133</v>
      </c>
      <c r="AE36" s="577">
        <v>0</v>
      </c>
    </row>
    <row r="37" spans="1:31" s="250" customFormat="1" x14ac:dyDescent="0.2">
      <c r="A37" s="3"/>
      <c r="B37" s="563">
        <v>2022</v>
      </c>
      <c r="C37" s="566">
        <v>137511.57871508907</v>
      </c>
      <c r="D37" s="1484">
        <v>2241.1816300202336</v>
      </c>
      <c r="E37" s="1484">
        <v>3521.0555925391091</v>
      </c>
      <c r="F37" s="1484">
        <v>166082.55308491952</v>
      </c>
      <c r="G37" s="1484">
        <v>298100.66666831466</v>
      </c>
      <c r="H37" s="1485">
        <v>144302.40769967571</v>
      </c>
      <c r="I37" s="1478">
        <v>0</v>
      </c>
      <c r="J37" s="567">
        <v>0</v>
      </c>
      <c r="K37" s="567">
        <v>0</v>
      </c>
      <c r="L37" s="567">
        <v>0</v>
      </c>
      <c r="M37" s="1493">
        <v>0</v>
      </c>
      <c r="N37" s="1524">
        <v>6.6793678527599676</v>
      </c>
      <c r="O37" s="1500">
        <v>6.9470633713873422</v>
      </c>
      <c r="P37" s="1500">
        <v>6.956726754633384</v>
      </c>
      <c r="Q37" s="1509">
        <v>5.8509068605605616</v>
      </c>
      <c r="R37" s="1509">
        <v>14.421967057405956</v>
      </c>
      <c r="S37" s="583">
        <v>7.1390015641607638</v>
      </c>
      <c r="T37" s="1514">
        <v>1</v>
      </c>
      <c r="U37" s="1515">
        <v>1</v>
      </c>
      <c r="V37" s="1515">
        <v>1</v>
      </c>
      <c r="W37" s="1515">
        <v>15.633643720839112</v>
      </c>
      <c r="X37" s="1515">
        <v>1</v>
      </c>
      <c r="Y37" s="565">
        <v>1</v>
      </c>
      <c r="Z37" s="1514">
        <v>0</v>
      </c>
      <c r="AA37" s="1515">
        <v>0</v>
      </c>
      <c r="AB37" s="1515">
        <v>0</v>
      </c>
      <c r="AC37" s="1515">
        <v>134.43421485573418</v>
      </c>
      <c r="AD37" s="1515">
        <v>238.69205014543442</v>
      </c>
      <c r="AE37" s="565">
        <v>0</v>
      </c>
    </row>
    <row r="38" spans="1:31" s="250" customFormat="1" x14ac:dyDescent="0.2">
      <c r="A38" s="3"/>
      <c r="B38" s="563">
        <v>2023</v>
      </c>
      <c r="C38" s="566">
        <v>137817.3680726336</v>
      </c>
      <c r="D38" s="1484">
        <v>3361.7724450303504</v>
      </c>
      <c r="E38" s="1484">
        <v>4395.9508814172732</v>
      </c>
      <c r="F38" s="1484">
        <v>134317.79609903932</v>
      </c>
      <c r="G38" s="1484">
        <v>240227.56266071417</v>
      </c>
      <c r="H38" s="1485">
        <v>121266.01396311898</v>
      </c>
      <c r="I38" s="1478">
        <v>0</v>
      </c>
      <c r="J38" s="567">
        <v>0</v>
      </c>
      <c r="K38" s="567">
        <v>0</v>
      </c>
      <c r="L38" s="567">
        <v>0</v>
      </c>
      <c r="M38" s="1493">
        <v>0</v>
      </c>
      <c r="N38" s="1524">
        <v>6.7614243906851943</v>
      </c>
      <c r="O38" s="1500">
        <v>7.1605595718966653</v>
      </c>
      <c r="P38" s="1500">
        <v>7.1751830703247723</v>
      </c>
      <c r="Q38" s="1509">
        <v>6.1206865958744956</v>
      </c>
      <c r="R38" s="1509">
        <v>14.866161479030115</v>
      </c>
      <c r="S38" s="583">
        <v>7.3702162484430715</v>
      </c>
      <c r="T38" s="1514">
        <v>1</v>
      </c>
      <c r="U38" s="1515">
        <v>1</v>
      </c>
      <c r="V38" s="1515">
        <v>1</v>
      </c>
      <c r="W38" s="1515">
        <v>16.091927748188134</v>
      </c>
      <c r="X38" s="1515">
        <v>1</v>
      </c>
      <c r="Y38" s="565">
        <v>1</v>
      </c>
      <c r="Z38" s="1514">
        <v>0</v>
      </c>
      <c r="AA38" s="1515">
        <v>0</v>
      </c>
      <c r="AB38" s="1515">
        <v>0</v>
      </c>
      <c r="AC38" s="1515">
        <v>134.92884265800586</v>
      </c>
      <c r="AD38" s="1515">
        <v>239.89799609459752</v>
      </c>
      <c r="AE38" s="565">
        <v>0</v>
      </c>
    </row>
    <row r="39" spans="1:31" s="250" customFormat="1" x14ac:dyDescent="0.2">
      <c r="A39" s="3"/>
      <c r="B39" s="563">
        <v>2024</v>
      </c>
      <c r="C39" s="566">
        <v>138123.15743017814</v>
      </c>
      <c r="D39" s="1484">
        <v>4482.3632600404671</v>
      </c>
      <c r="E39" s="1484">
        <v>5270.8461702954373</v>
      </c>
      <c r="F39" s="1484">
        <v>102553.03911315912</v>
      </c>
      <c r="G39" s="1484">
        <v>182354.45865311369</v>
      </c>
      <c r="H39" s="1485">
        <v>98229.620226562256</v>
      </c>
      <c r="I39" s="1478">
        <v>0</v>
      </c>
      <c r="J39" s="567">
        <v>0</v>
      </c>
      <c r="K39" s="567">
        <v>0</v>
      </c>
      <c r="L39" s="567">
        <v>0</v>
      </c>
      <c r="M39" s="1493">
        <v>0</v>
      </c>
      <c r="N39" s="1524">
        <v>6.8703948220978024</v>
      </c>
      <c r="O39" s="1500">
        <v>7.4015589541703397</v>
      </c>
      <c r="P39" s="1500">
        <v>7.421163017794127</v>
      </c>
      <c r="Q39" s="1509">
        <v>6.4132863002853249</v>
      </c>
      <c r="R39" s="1509">
        <v>15.367448221372619</v>
      </c>
      <c r="S39" s="583">
        <v>7.6296488549759385</v>
      </c>
      <c r="T39" s="1514">
        <v>1</v>
      </c>
      <c r="U39" s="1515">
        <v>1</v>
      </c>
      <c r="V39" s="1515">
        <v>1</v>
      </c>
      <c r="W39" s="1515">
        <v>16.612189474435496</v>
      </c>
      <c r="X39" s="1515">
        <v>1</v>
      </c>
      <c r="Y39" s="565">
        <v>1</v>
      </c>
      <c r="Z39" s="1514">
        <v>0</v>
      </c>
      <c r="AA39" s="1515">
        <v>0</v>
      </c>
      <c r="AB39" s="1515">
        <v>0</v>
      </c>
      <c r="AC39" s="1515">
        <v>135.42347046027754</v>
      </c>
      <c r="AD39" s="1515">
        <v>241.10394204376061</v>
      </c>
      <c r="AE39" s="565">
        <v>0</v>
      </c>
    </row>
    <row r="40" spans="1:31" s="250" customFormat="1" ht="13.5" thickBot="1" x14ac:dyDescent="0.25">
      <c r="A40" s="3"/>
      <c r="B40" s="569">
        <v>2025</v>
      </c>
      <c r="C40" s="572">
        <v>138428.94678772261</v>
      </c>
      <c r="D40" s="1486">
        <v>5602.9540750505839</v>
      </c>
      <c r="E40" s="1486">
        <v>6145.7414591736597</v>
      </c>
      <c r="F40" s="1486">
        <v>70788.282127278944</v>
      </c>
      <c r="G40" s="1486">
        <v>124481.35464551323</v>
      </c>
      <c r="H40" s="1487">
        <v>75193.226490005531</v>
      </c>
      <c r="I40" s="1479">
        <v>0</v>
      </c>
      <c r="J40" s="573">
        <v>0</v>
      </c>
      <c r="K40" s="573">
        <v>0</v>
      </c>
      <c r="L40" s="573">
        <v>0</v>
      </c>
      <c r="M40" s="1494">
        <v>0</v>
      </c>
      <c r="N40" s="1525">
        <v>6.9844806078855131</v>
      </c>
      <c r="O40" s="1502">
        <v>7.6476956459691996</v>
      </c>
      <c r="P40" s="1502">
        <v>7.6722807597141518</v>
      </c>
      <c r="Q40" s="1505">
        <v>6.7100841946785037</v>
      </c>
      <c r="R40" s="1505">
        <v>15.879398516741519</v>
      </c>
      <c r="S40" s="581">
        <v>7.8943438239759969</v>
      </c>
      <c r="T40" s="1516">
        <v>1</v>
      </c>
      <c r="U40" s="1517">
        <v>1</v>
      </c>
      <c r="V40" s="1517">
        <v>1</v>
      </c>
      <c r="W40" s="1517">
        <v>17.144043846072119</v>
      </c>
      <c r="X40" s="1517">
        <v>1</v>
      </c>
      <c r="Y40" s="571">
        <v>1</v>
      </c>
      <c r="Z40" s="1516">
        <v>0</v>
      </c>
      <c r="AA40" s="1517">
        <v>0</v>
      </c>
      <c r="AB40" s="1517">
        <v>0</v>
      </c>
      <c r="AC40" s="1517">
        <v>135.91809826254922</v>
      </c>
      <c r="AD40" s="1517">
        <v>242.30988799292368</v>
      </c>
      <c r="AE40" s="571">
        <v>0</v>
      </c>
    </row>
    <row r="41" spans="1:31" s="250" customFormat="1" x14ac:dyDescent="0.2">
      <c r="A41" s="3"/>
      <c r="B41" s="575">
        <v>2026</v>
      </c>
      <c r="C41" s="578">
        <v>139088.32283276951</v>
      </c>
      <c r="D41" s="1488">
        <v>5829.5183760771179</v>
      </c>
      <c r="E41" s="1488">
        <v>6311.0325946978555</v>
      </c>
      <c r="F41" s="1488">
        <v>63439.25086035025</v>
      </c>
      <c r="G41" s="1488">
        <v>111055.27571971853</v>
      </c>
      <c r="H41" s="1489">
        <v>64934.805702934522</v>
      </c>
      <c r="I41" s="1477">
        <v>0</v>
      </c>
      <c r="J41" s="579">
        <v>0</v>
      </c>
      <c r="K41" s="579">
        <v>0</v>
      </c>
      <c r="L41" s="579">
        <v>0</v>
      </c>
      <c r="M41" s="1492">
        <v>0</v>
      </c>
      <c r="N41" s="1526">
        <v>7.1268235859261271</v>
      </c>
      <c r="O41" s="1504">
        <v>7.9249885608497443</v>
      </c>
      <c r="P41" s="1504">
        <v>7.9546623437176862</v>
      </c>
      <c r="Q41" s="1506">
        <v>7.0343624918239769</v>
      </c>
      <c r="R41" s="1506">
        <v>16.456042035130864</v>
      </c>
      <c r="S41" s="582">
        <v>8.1912187562276024</v>
      </c>
      <c r="T41" s="1518">
        <v>1</v>
      </c>
      <c r="U41" s="1519">
        <v>1</v>
      </c>
      <c r="V41" s="1519">
        <v>1</v>
      </c>
      <c r="W41" s="1519">
        <v>17.745706490002807</v>
      </c>
      <c r="X41" s="1519">
        <v>1</v>
      </c>
      <c r="Y41" s="577">
        <v>1</v>
      </c>
      <c r="Z41" s="1518">
        <v>0</v>
      </c>
      <c r="AA41" s="1519">
        <v>0</v>
      </c>
      <c r="AB41" s="1519">
        <v>0</v>
      </c>
      <c r="AC41" s="1519">
        <v>136.23891827351258</v>
      </c>
      <c r="AD41" s="1519">
        <v>243.05658945648446</v>
      </c>
      <c r="AE41" s="577">
        <v>0</v>
      </c>
    </row>
    <row r="42" spans="1:31" s="250" customFormat="1" x14ac:dyDescent="0.2">
      <c r="A42" s="3"/>
      <c r="B42" s="563">
        <v>2027</v>
      </c>
      <c r="C42" s="566">
        <v>139747.69887781641</v>
      </c>
      <c r="D42" s="1484">
        <v>6056.0826771036518</v>
      </c>
      <c r="E42" s="1484">
        <v>6476.3237302220368</v>
      </c>
      <c r="F42" s="1484">
        <v>56090.219593421556</v>
      </c>
      <c r="G42" s="1484">
        <v>97629.196793923824</v>
      </c>
      <c r="H42" s="1485">
        <v>54676.384915863513</v>
      </c>
      <c r="I42" s="1478">
        <v>0</v>
      </c>
      <c r="J42" s="567">
        <v>0</v>
      </c>
      <c r="K42" s="567">
        <v>0</v>
      </c>
      <c r="L42" s="567">
        <v>0</v>
      </c>
      <c r="M42" s="1493">
        <v>0</v>
      </c>
      <c r="N42" s="1524">
        <v>7.2596573539994482</v>
      </c>
      <c r="O42" s="1500">
        <v>8.1922290283404546</v>
      </c>
      <c r="P42" s="1500">
        <v>8.2269715978747104</v>
      </c>
      <c r="Q42" s="1509">
        <v>7.3500606631573309</v>
      </c>
      <c r="R42" s="1509">
        <v>17.011815629793034</v>
      </c>
      <c r="S42" s="583">
        <v>8.4777485515778999</v>
      </c>
      <c r="T42" s="1514">
        <v>1</v>
      </c>
      <c r="U42" s="1515">
        <v>1</v>
      </c>
      <c r="V42" s="1515">
        <v>1</v>
      </c>
      <c r="W42" s="1515">
        <v>18.32477519047697</v>
      </c>
      <c r="X42" s="1515">
        <v>1</v>
      </c>
      <c r="Y42" s="565">
        <v>1</v>
      </c>
      <c r="Z42" s="1514">
        <v>0</v>
      </c>
      <c r="AA42" s="1515">
        <v>0</v>
      </c>
      <c r="AB42" s="1515">
        <v>0</v>
      </c>
      <c r="AC42" s="1515">
        <v>136.55973828447594</v>
      </c>
      <c r="AD42" s="1515">
        <v>243.80329092004524</v>
      </c>
      <c r="AE42" s="565">
        <v>0</v>
      </c>
    </row>
    <row r="43" spans="1:31" s="250" customFormat="1" x14ac:dyDescent="0.2">
      <c r="A43" s="3"/>
      <c r="B43" s="563">
        <v>2028</v>
      </c>
      <c r="C43" s="566">
        <v>140407.07492286331</v>
      </c>
      <c r="D43" s="1484">
        <v>6282.6469781302003</v>
      </c>
      <c r="E43" s="1484">
        <v>6641.6148657462181</v>
      </c>
      <c r="F43" s="1484">
        <v>48741.188326492862</v>
      </c>
      <c r="G43" s="1484">
        <v>84203.11786812912</v>
      </c>
      <c r="H43" s="1485">
        <v>44417.964128792504</v>
      </c>
      <c r="I43" s="1478">
        <v>0</v>
      </c>
      <c r="J43" s="567">
        <v>0</v>
      </c>
      <c r="K43" s="567">
        <v>0</v>
      </c>
      <c r="L43" s="567">
        <v>0</v>
      </c>
      <c r="M43" s="1493">
        <v>0</v>
      </c>
      <c r="N43" s="1524">
        <v>7.3232479833579154</v>
      </c>
      <c r="O43" s="1500">
        <v>8.3805709435905573</v>
      </c>
      <c r="P43" s="1500">
        <v>8.42002219267337</v>
      </c>
      <c r="Q43" s="1509">
        <v>7.5944790334573078</v>
      </c>
      <c r="R43" s="1509">
        <v>17.403744738049404</v>
      </c>
      <c r="S43" s="583">
        <v>8.6825653359997457</v>
      </c>
      <c r="T43" s="1514">
        <v>1</v>
      </c>
      <c r="U43" s="1515">
        <v>1</v>
      </c>
      <c r="V43" s="1515">
        <v>1</v>
      </c>
      <c r="W43" s="1515">
        <v>18.727481024217429</v>
      </c>
      <c r="X43" s="1515">
        <v>1</v>
      </c>
      <c r="Y43" s="565">
        <v>1</v>
      </c>
      <c r="Z43" s="1514">
        <v>0</v>
      </c>
      <c r="AA43" s="1515">
        <v>0</v>
      </c>
      <c r="AB43" s="1515">
        <v>0</v>
      </c>
      <c r="AC43" s="1515">
        <v>136.8805582954393</v>
      </c>
      <c r="AD43" s="1515">
        <v>244.54999238360602</v>
      </c>
      <c r="AE43" s="565">
        <v>0</v>
      </c>
    </row>
    <row r="44" spans="1:31" s="250" customFormat="1" x14ac:dyDescent="0.2">
      <c r="A44" s="3"/>
      <c r="B44" s="563">
        <v>2029</v>
      </c>
      <c r="C44" s="566">
        <v>141066.45096791023</v>
      </c>
      <c r="D44" s="1484">
        <v>6509.2112791567342</v>
      </c>
      <c r="E44" s="1484">
        <v>6806.9060012703994</v>
      </c>
      <c r="F44" s="1484">
        <v>41392.157059564168</v>
      </c>
      <c r="G44" s="1484">
        <v>70777.038942334417</v>
      </c>
      <c r="H44" s="1485">
        <v>34159.543341721495</v>
      </c>
      <c r="I44" s="1478">
        <v>0</v>
      </c>
      <c r="J44" s="567">
        <v>0</v>
      </c>
      <c r="K44" s="567">
        <v>0</v>
      </c>
      <c r="L44" s="567">
        <v>0</v>
      </c>
      <c r="M44" s="1493">
        <v>0</v>
      </c>
      <c r="N44" s="1524">
        <v>7.3993968431096375</v>
      </c>
      <c r="O44" s="1500">
        <v>8.5816699822997506</v>
      </c>
      <c r="P44" s="1500">
        <v>8.6258365790986815</v>
      </c>
      <c r="Q44" s="1509">
        <v>7.8494278988959696</v>
      </c>
      <c r="R44" s="1509">
        <v>17.822155054812789</v>
      </c>
      <c r="S44" s="583">
        <v>8.9004636289548724</v>
      </c>
      <c r="T44" s="1514">
        <v>1</v>
      </c>
      <c r="U44" s="1515">
        <v>1</v>
      </c>
      <c r="V44" s="1515">
        <v>1</v>
      </c>
      <c r="W44" s="1515">
        <v>19.15894809410818</v>
      </c>
      <c r="X44" s="1515">
        <v>1</v>
      </c>
      <c r="Y44" s="565">
        <v>1</v>
      </c>
      <c r="Z44" s="1514">
        <v>0</v>
      </c>
      <c r="AA44" s="1515">
        <v>0</v>
      </c>
      <c r="AB44" s="1515">
        <v>0</v>
      </c>
      <c r="AC44" s="1515">
        <v>137.20137830640266</v>
      </c>
      <c r="AD44" s="1515">
        <v>245.29669384716681</v>
      </c>
      <c r="AE44" s="565">
        <v>0</v>
      </c>
    </row>
    <row r="45" spans="1:31" s="250" customFormat="1" ht="13.5" thickBot="1" x14ac:dyDescent="0.25">
      <c r="A45" s="3"/>
      <c r="B45" s="569">
        <v>2030</v>
      </c>
      <c r="C45" s="572">
        <v>141725.82701295713</v>
      </c>
      <c r="D45" s="1486">
        <v>6735.7755801832827</v>
      </c>
      <c r="E45" s="1486">
        <v>6972.1971367946244</v>
      </c>
      <c r="F45" s="1486">
        <v>34043.12579263543</v>
      </c>
      <c r="G45" s="1486">
        <v>57350.960016539786</v>
      </c>
      <c r="H45" s="1487">
        <v>23901.12255465053</v>
      </c>
      <c r="I45" s="1479">
        <v>0</v>
      </c>
      <c r="J45" s="573">
        <v>0</v>
      </c>
      <c r="K45" s="573">
        <v>0</v>
      </c>
      <c r="L45" s="573">
        <v>0</v>
      </c>
      <c r="M45" s="1494">
        <v>0</v>
      </c>
      <c r="N45" s="1525">
        <v>7.4035444282344587</v>
      </c>
      <c r="O45" s="1502">
        <v>8.6968437936002569</v>
      </c>
      <c r="P45" s="1502">
        <v>8.7452045561759437</v>
      </c>
      <c r="Q45" s="1505">
        <v>8.0242598166450207</v>
      </c>
      <c r="R45" s="1505">
        <v>18.062101832057682</v>
      </c>
      <c r="S45" s="581">
        <v>9.0290445896514306</v>
      </c>
      <c r="T45" s="1516">
        <v>1</v>
      </c>
      <c r="U45" s="1517">
        <v>1</v>
      </c>
      <c r="V45" s="1517">
        <v>1</v>
      </c>
      <c r="W45" s="1517">
        <v>19.398958726983615</v>
      </c>
      <c r="X45" s="1517">
        <v>1</v>
      </c>
      <c r="Y45" s="571">
        <v>1</v>
      </c>
      <c r="Z45" s="1516">
        <v>0</v>
      </c>
      <c r="AA45" s="1517">
        <v>0</v>
      </c>
      <c r="AB45" s="1517">
        <v>0</v>
      </c>
      <c r="AC45" s="1517">
        <v>137.52219831736599</v>
      </c>
      <c r="AD45" s="1517">
        <v>246.04339531072753</v>
      </c>
      <c r="AE45" s="571">
        <v>0</v>
      </c>
    </row>
    <row r="46" spans="1:31" s="250" customFormat="1" x14ac:dyDescent="0.2">
      <c r="A46" s="3"/>
      <c r="B46" s="575">
        <v>2031</v>
      </c>
      <c r="C46" s="578">
        <v>141725.82701295713</v>
      </c>
      <c r="D46" s="1488">
        <v>6735.7755801832827</v>
      </c>
      <c r="E46" s="1488">
        <v>6972.1971367946244</v>
      </c>
      <c r="F46" s="1488">
        <v>31513.336840420408</v>
      </c>
      <c r="G46" s="1488">
        <v>52004.511706898396</v>
      </c>
      <c r="H46" s="1489">
        <v>21656.225335991505</v>
      </c>
      <c r="I46" s="1477">
        <v>0</v>
      </c>
      <c r="J46" s="579">
        <v>0</v>
      </c>
      <c r="K46" s="579">
        <v>0</v>
      </c>
      <c r="L46" s="579">
        <v>0</v>
      </c>
      <c r="M46" s="1492">
        <v>0</v>
      </c>
      <c r="N46" s="1526">
        <v>7.4076920133592798</v>
      </c>
      <c r="O46" s="1504">
        <f>$N46*O45/$N45</f>
        <v>8.7017159059109055</v>
      </c>
      <c r="P46" s="1504">
        <f t="shared" ref="P46:P65" si="13">$N46*P45/$N45</f>
        <v>8.7501037609666099</v>
      </c>
      <c r="Q46" s="1506">
        <v>8.1997771011669105</v>
      </c>
      <c r="R46" s="1506">
        <v>18.308041782967763</v>
      </c>
      <c r="S46" s="582">
        <v>9.216226320156867</v>
      </c>
      <c r="T46" s="1518">
        <v>1</v>
      </c>
      <c r="U46" s="1519">
        <v>1</v>
      </c>
      <c r="V46" s="1519">
        <v>1</v>
      </c>
      <c r="W46" s="1519">
        <v>19.672334208312211</v>
      </c>
      <c r="X46" s="1519">
        <v>1</v>
      </c>
      <c r="Y46" s="577">
        <v>1</v>
      </c>
      <c r="Z46" s="1518">
        <v>0</v>
      </c>
      <c r="AA46" s="1519">
        <v>0</v>
      </c>
      <c r="AB46" s="1519">
        <v>0</v>
      </c>
      <c r="AC46" s="1519">
        <v>137.74771152428704</v>
      </c>
      <c r="AD46" s="1519">
        <v>246.54370008861537</v>
      </c>
      <c r="AE46" s="577">
        <v>0</v>
      </c>
    </row>
    <row r="47" spans="1:31" s="250" customFormat="1" x14ac:dyDescent="0.2">
      <c r="A47" s="3"/>
      <c r="B47" s="563">
        <v>2032</v>
      </c>
      <c r="C47" s="566">
        <v>141725.82701295713</v>
      </c>
      <c r="D47" s="1488">
        <v>6735.7755801832827</v>
      </c>
      <c r="E47" s="1488">
        <v>6972.1971367946244</v>
      </c>
      <c r="F47" s="1488">
        <v>28983.547888205387</v>
      </c>
      <c r="G47" s="1488">
        <v>46658.063397257007</v>
      </c>
      <c r="H47" s="1489">
        <v>19411.328117332479</v>
      </c>
      <c r="I47" s="1478">
        <v>0</v>
      </c>
      <c r="J47" s="584">
        <v>0</v>
      </c>
      <c r="K47" s="567">
        <v>0</v>
      </c>
      <c r="L47" s="584">
        <v>0</v>
      </c>
      <c r="M47" s="1493">
        <v>0</v>
      </c>
      <c r="N47" s="1526">
        <v>7.411839598484101</v>
      </c>
      <c r="O47" s="1500">
        <f t="shared" ref="O47:O65" si="14">$N47*O46/$N46</f>
        <v>8.7065880182215523</v>
      </c>
      <c r="P47" s="1500">
        <f t="shared" si="13"/>
        <v>8.7550029657572761</v>
      </c>
      <c r="Q47" s="1509">
        <v>8.3754858969328332</v>
      </c>
      <c r="R47" s="1509">
        <v>18.554245807705197</v>
      </c>
      <c r="S47" s="583">
        <v>9.4036119934763303</v>
      </c>
      <c r="T47" s="1518">
        <v>1</v>
      </c>
      <c r="U47" s="1519">
        <v>1</v>
      </c>
      <c r="V47" s="1519">
        <v>1</v>
      </c>
      <c r="W47" s="1519">
        <v>19.946003647256969</v>
      </c>
      <c r="X47" s="1519">
        <v>1</v>
      </c>
      <c r="Y47" s="577">
        <v>1</v>
      </c>
      <c r="Z47" s="1518">
        <v>0</v>
      </c>
      <c r="AA47" s="1519">
        <v>0</v>
      </c>
      <c r="AB47" s="1519">
        <v>0</v>
      </c>
      <c r="AC47" s="1519">
        <v>137.97322473120809</v>
      </c>
      <c r="AD47" s="1519">
        <v>247.0440048665032</v>
      </c>
      <c r="AE47" s="577">
        <v>0</v>
      </c>
    </row>
    <row r="48" spans="1:31" s="250" customFormat="1" x14ac:dyDescent="0.2">
      <c r="A48" s="3"/>
      <c r="B48" s="563">
        <v>2033</v>
      </c>
      <c r="C48" s="566">
        <v>141725.82701295713</v>
      </c>
      <c r="D48" s="1488">
        <v>6735.7755801832827</v>
      </c>
      <c r="E48" s="1488">
        <v>6972.1971367946244</v>
      </c>
      <c r="F48" s="1488">
        <v>26453.758935990365</v>
      </c>
      <c r="G48" s="1488">
        <v>41311.615087615617</v>
      </c>
      <c r="H48" s="1489">
        <v>17166.430898673454</v>
      </c>
      <c r="I48" s="1478">
        <v>0</v>
      </c>
      <c r="J48" s="567">
        <v>0</v>
      </c>
      <c r="K48" s="567">
        <v>0</v>
      </c>
      <c r="L48" s="567">
        <v>0</v>
      </c>
      <c r="M48" s="1493">
        <v>0</v>
      </c>
      <c r="N48" s="1526">
        <v>7.4159871836089222</v>
      </c>
      <c r="O48" s="1500">
        <f t="shared" si="14"/>
        <v>8.7114601305322008</v>
      </c>
      <c r="P48" s="1500">
        <f t="shared" si="13"/>
        <v>8.7599021705479405</v>
      </c>
      <c r="Q48" s="1509">
        <v>8.5513862039427906</v>
      </c>
      <c r="R48" s="1509">
        <v>18.800713906269973</v>
      </c>
      <c r="S48" s="583">
        <v>9.5912016096098185</v>
      </c>
      <c r="T48" s="1518">
        <v>1</v>
      </c>
      <c r="U48" s="1519">
        <v>1</v>
      </c>
      <c r="V48" s="1519">
        <v>1</v>
      </c>
      <c r="W48" s="1519">
        <v>20.219967043817878</v>
      </c>
      <c r="X48" s="1519">
        <v>1</v>
      </c>
      <c r="Y48" s="577">
        <v>1</v>
      </c>
      <c r="Z48" s="1518">
        <v>0</v>
      </c>
      <c r="AA48" s="1519">
        <v>0</v>
      </c>
      <c r="AB48" s="1519">
        <v>0</v>
      </c>
      <c r="AC48" s="1519">
        <v>138.19873793812914</v>
      </c>
      <c r="AD48" s="1519">
        <v>247.54430964439103</v>
      </c>
      <c r="AE48" s="577">
        <v>0</v>
      </c>
    </row>
    <row r="49" spans="1:31" s="250" customFormat="1" x14ac:dyDescent="0.2">
      <c r="A49" s="3"/>
      <c r="B49" s="563">
        <v>2034</v>
      </c>
      <c r="C49" s="566">
        <v>141725.82701295713</v>
      </c>
      <c r="D49" s="1488">
        <v>6735.7755801832827</v>
      </c>
      <c r="E49" s="1488">
        <v>6972.1971367946244</v>
      </c>
      <c r="F49" s="1488">
        <v>23923.969983775343</v>
      </c>
      <c r="G49" s="1488">
        <v>35965.166777974227</v>
      </c>
      <c r="H49" s="1489">
        <v>14921.533680014429</v>
      </c>
      <c r="I49" s="1478">
        <v>0</v>
      </c>
      <c r="J49" s="567">
        <v>0</v>
      </c>
      <c r="K49" s="567">
        <v>0</v>
      </c>
      <c r="L49" s="567">
        <v>0</v>
      </c>
      <c r="M49" s="1493">
        <v>0</v>
      </c>
      <c r="N49" s="1526">
        <v>7.4201347687337424</v>
      </c>
      <c r="O49" s="1500">
        <f t="shared" si="14"/>
        <v>8.7163322428428476</v>
      </c>
      <c r="P49" s="1500">
        <f t="shared" si="13"/>
        <v>8.7648013753386049</v>
      </c>
      <c r="Q49" s="1509">
        <v>8.7274780221967845</v>
      </c>
      <c r="R49" s="1509">
        <v>19.047446078662098</v>
      </c>
      <c r="S49" s="583">
        <v>9.7789951685573318</v>
      </c>
      <c r="T49" s="1518">
        <v>1</v>
      </c>
      <c r="U49" s="1519">
        <v>1</v>
      </c>
      <c r="V49" s="1519">
        <v>1</v>
      </c>
      <c r="W49" s="1519">
        <v>20.494224397994934</v>
      </c>
      <c r="X49" s="1519">
        <v>1</v>
      </c>
      <c r="Y49" s="577">
        <v>1</v>
      </c>
      <c r="Z49" s="1518">
        <v>0</v>
      </c>
      <c r="AA49" s="1519">
        <v>0</v>
      </c>
      <c r="AB49" s="1519">
        <v>0</v>
      </c>
      <c r="AC49" s="1519">
        <v>138.42425114505019</v>
      </c>
      <c r="AD49" s="1519">
        <v>248.04461442227887</v>
      </c>
      <c r="AE49" s="577">
        <v>0</v>
      </c>
    </row>
    <row r="50" spans="1:31" s="250" customFormat="1" ht="13.5" thickBot="1" x14ac:dyDescent="0.25">
      <c r="A50" s="3"/>
      <c r="B50" s="585">
        <v>2035</v>
      </c>
      <c r="C50" s="588">
        <v>141725.82701295713</v>
      </c>
      <c r="D50" s="1490">
        <v>6735.7755801832827</v>
      </c>
      <c r="E50" s="1490">
        <v>6972.1971367946244</v>
      </c>
      <c r="F50" s="1490">
        <v>21394.181031560263</v>
      </c>
      <c r="G50" s="1490">
        <v>30618.718468332838</v>
      </c>
      <c r="H50" s="1491">
        <v>12676.636461355432</v>
      </c>
      <c r="I50" s="1480">
        <v>0</v>
      </c>
      <c r="J50" s="589">
        <v>0</v>
      </c>
      <c r="K50" s="589">
        <v>0</v>
      </c>
      <c r="L50" s="589">
        <v>0</v>
      </c>
      <c r="M50" s="1495">
        <v>0</v>
      </c>
      <c r="N50" s="1527">
        <v>7.4242823538585636</v>
      </c>
      <c r="O50" s="1502">
        <f t="shared" si="14"/>
        <v>8.7212043551534943</v>
      </c>
      <c r="P50" s="1502">
        <f t="shared" si="13"/>
        <v>8.7697005801292711</v>
      </c>
      <c r="Q50" s="1505">
        <v>8.9037613516948131</v>
      </c>
      <c r="R50" s="1505">
        <v>19.29444232488158</v>
      </c>
      <c r="S50" s="581">
        <v>9.9669926703188718</v>
      </c>
      <c r="T50" s="1520">
        <v>1</v>
      </c>
      <c r="U50" s="1521">
        <v>1</v>
      </c>
      <c r="V50" s="1521">
        <v>1</v>
      </c>
      <c r="W50" s="1521">
        <v>20.768775709788155</v>
      </c>
      <c r="X50" s="1521">
        <v>1</v>
      </c>
      <c r="Y50" s="587">
        <v>1</v>
      </c>
      <c r="Z50" s="1520">
        <v>0</v>
      </c>
      <c r="AA50" s="1521">
        <v>0</v>
      </c>
      <c r="AB50" s="1521">
        <v>0</v>
      </c>
      <c r="AC50" s="1521">
        <v>138.64976435197124</v>
      </c>
      <c r="AD50" s="1521">
        <v>248.54491920016673</v>
      </c>
      <c r="AE50" s="587">
        <v>0</v>
      </c>
    </row>
    <row r="51" spans="1:31" s="250" customFormat="1" x14ac:dyDescent="0.2">
      <c r="A51" s="3"/>
      <c r="B51" s="590">
        <v>2036</v>
      </c>
      <c r="C51" s="593">
        <v>141725.82701295713</v>
      </c>
      <c r="D51" s="1482">
        <v>6735.7755801832827</v>
      </c>
      <c r="E51" s="1482">
        <v>6972.1971367946244</v>
      </c>
      <c r="F51" s="1482">
        <v>21247.826875298837</v>
      </c>
      <c r="G51" s="1482">
        <v>30039.7510299719</v>
      </c>
      <c r="H51" s="1483">
        <v>12143.892554346501</v>
      </c>
      <c r="I51" s="1481">
        <v>0</v>
      </c>
      <c r="J51" s="594">
        <v>0</v>
      </c>
      <c r="K51" s="594">
        <v>0</v>
      </c>
      <c r="L51" s="594">
        <v>0</v>
      </c>
      <c r="M51" s="1496">
        <v>0</v>
      </c>
      <c r="N51" s="1523">
        <v>7.4244190006289514</v>
      </c>
      <c r="O51" s="1498">
        <f t="shared" si="14"/>
        <v>8.7213648722718133</v>
      </c>
      <c r="P51" s="1498">
        <f t="shared" si="13"/>
        <v>8.7698619898392511</v>
      </c>
      <c r="Q51" s="1511">
        <v>8.9646796958887993</v>
      </c>
      <c r="R51" s="1511">
        <v>19.374564177599087</v>
      </c>
      <c r="S51" s="596">
        <v>10.070013880963067</v>
      </c>
      <c r="T51" s="1512">
        <v>1</v>
      </c>
      <c r="U51" s="1513">
        <v>1</v>
      </c>
      <c r="V51" s="1513">
        <v>1</v>
      </c>
      <c r="W51" s="1513">
        <v>20.859604614252415</v>
      </c>
      <c r="X51" s="1513">
        <v>1</v>
      </c>
      <c r="Y51" s="592">
        <v>1</v>
      </c>
      <c r="Z51" s="1512">
        <v>0</v>
      </c>
      <c r="AA51" s="1513">
        <v>0</v>
      </c>
      <c r="AB51" s="1513">
        <v>0</v>
      </c>
      <c r="AC51" s="1513">
        <v>138.740279572574</v>
      </c>
      <c r="AD51" s="1513">
        <v>248.58845165774892</v>
      </c>
      <c r="AE51" s="592">
        <v>0</v>
      </c>
    </row>
    <row r="52" spans="1:31" s="250" customFormat="1" x14ac:dyDescent="0.2">
      <c r="A52" s="3"/>
      <c r="B52" s="563">
        <v>2037</v>
      </c>
      <c r="C52" s="566">
        <v>141725.82701295713</v>
      </c>
      <c r="D52" s="1484">
        <v>6735.7755801832827</v>
      </c>
      <c r="E52" s="1484">
        <v>6972.1971367946244</v>
      </c>
      <c r="F52" s="1484">
        <v>21101.472719037411</v>
      </c>
      <c r="G52" s="1484">
        <v>29460.783591610962</v>
      </c>
      <c r="H52" s="1485">
        <v>11611.14864733757</v>
      </c>
      <c r="I52" s="1478">
        <v>0</v>
      </c>
      <c r="J52" s="567">
        <v>0</v>
      </c>
      <c r="K52" s="567">
        <v>0</v>
      </c>
      <c r="L52" s="567">
        <v>0</v>
      </c>
      <c r="M52" s="1493">
        <v>0</v>
      </c>
      <c r="N52" s="1524">
        <v>7.4245556473993393</v>
      </c>
      <c r="O52" s="1500">
        <f t="shared" si="14"/>
        <v>8.7215253893901306</v>
      </c>
      <c r="P52" s="1500">
        <f t="shared" si="13"/>
        <v>8.7700233995492312</v>
      </c>
      <c r="Q52" s="1509">
        <v>9.0256002764602616</v>
      </c>
      <c r="R52" s="1509">
        <v>19.454688966537248</v>
      </c>
      <c r="S52" s="583">
        <v>10.173038877074747</v>
      </c>
      <c r="T52" s="1514">
        <v>1</v>
      </c>
      <c r="U52" s="1515">
        <v>1</v>
      </c>
      <c r="V52" s="1515">
        <v>1</v>
      </c>
      <c r="W52" s="1515">
        <v>20.950436848066008</v>
      </c>
      <c r="X52" s="1515">
        <v>1</v>
      </c>
      <c r="Y52" s="565">
        <v>1</v>
      </c>
      <c r="Z52" s="1514">
        <v>0</v>
      </c>
      <c r="AA52" s="1515">
        <v>0</v>
      </c>
      <c r="AB52" s="1515">
        <v>0</v>
      </c>
      <c r="AC52" s="1515">
        <v>138.83079479317675</v>
      </c>
      <c r="AD52" s="1515">
        <v>248.63198411533111</v>
      </c>
      <c r="AE52" s="565">
        <v>0</v>
      </c>
    </row>
    <row r="53" spans="1:31" s="250" customFormat="1" x14ac:dyDescent="0.2">
      <c r="A53" s="3"/>
      <c r="B53" s="563">
        <v>2038</v>
      </c>
      <c r="C53" s="566">
        <v>141725.82701295713</v>
      </c>
      <c r="D53" s="1484">
        <v>6735.7755801832827</v>
      </c>
      <c r="E53" s="1484">
        <v>6972.1971367946244</v>
      </c>
      <c r="F53" s="1484">
        <v>20955.118562775984</v>
      </c>
      <c r="G53" s="1484">
        <v>28881.816153250023</v>
      </c>
      <c r="H53" s="1485">
        <v>11078.404740328639</v>
      </c>
      <c r="I53" s="1478">
        <v>0</v>
      </c>
      <c r="J53" s="567">
        <v>0</v>
      </c>
      <c r="K53" s="567">
        <v>0</v>
      </c>
      <c r="L53" s="567">
        <v>0</v>
      </c>
      <c r="M53" s="1493">
        <v>0</v>
      </c>
      <c r="N53" s="1524">
        <v>7.4246922941697271</v>
      </c>
      <c r="O53" s="1500">
        <f t="shared" si="14"/>
        <v>8.7216859065084495</v>
      </c>
      <c r="P53" s="1500">
        <f t="shared" si="13"/>
        <v>8.7701848092592112</v>
      </c>
      <c r="Q53" s="1509">
        <v>9.0865230934091983</v>
      </c>
      <c r="R53" s="1509">
        <v>19.534816691696054</v>
      </c>
      <c r="S53" s="583">
        <v>10.276067658653917</v>
      </c>
      <c r="T53" s="1514">
        <v>1</v>
      </c>
      <c r="U53" s="1515">
        <v>1</v>
      </c>
      <c r="V53" s="1515">
        <v>1</v>
      </c>
      <c r="W53" s="1515">
        <v>21.041272411228938</v>
      </c>
      <c r="X53" s="1515">
        <v>1</v>
      </c>
      <c r="Y53" s="565">
        <v>1</v>
      </c>
      <c r="Z53" s="1514">
        <v>0</v>
      </c>
      <c r="AA53" s="1515">
        <v>0</v>
      </c>
      <c r="AB53" s="1515">
        <v>0</v>
      </c>
      <c r="AC53" s="1515">
        <v>138.9213100137795</v>
      </c>
      <c r="AD53" s="1515">
        <v>248.6755165729133</v>
      </c>
      <c r="AE53" s="565">
        <v>0</v>
      </c>
    </row>
    <row r="54" spans="1:31" s="250" customFormat="1" x14ac:dyDescent="0.2">
      <c r="A54" s="3"/>
      <c r="B54" s="563">
        <v>2039</v>
      </c>
      <c r="C54" s="566">
        <v>141725.82701295713</v>
      </c>
      <c r="D54" s="1484">
        <v>6735.7755801832827</v>
      </c>
      <c r="E54" s="1484">
        <v>6972.1971367946244</v>
      </c>
      <c r="F54" s="1484">
        <v>20808.764406514558</v>
      </c>
      <c r="G54" s="1484">
        <v>28302.848714889085</v>
      </c>
      <c r="H54" s="1485">
        <v>10545.660833319707</v>
      </c>
      <c r="I54" s="1478">
        <v>0</v>
      </c>
      <c r="J54" s="567">
        <v>0</v>
      </c>
      <c r="K54" s="567">
        <v>0</v>
      </c>
      <c r="L54" s="567">
        <v>0</v>
      </c>
      <c r="M54" s="1493">
        <v>0</v>
      </c>
      <c r="N54" s="1524">
        <v>7.4248289409401149</v>
      </c>
      <c r="O54" s="1500">
        <f t="shared" si="14"/>
        <v>8.7218464236267685</v>
      </c>
      <c r="P54" s="1500">
        <f t="shared" si="13"/>
        <v>8.7703462189691912</v>
      </c>
      <c r="Q54" s="1509">
        <v>9.147448146735611</v>
      </c>
      <c r="R54" s="1509">
        <v>19.614947353075507</v>
      </c>
      <c r="S54" s="583">
        <v>10.379100225700572</v>
      </c>
      <c r="T54" s="1514">
        <v>1</v>
      </c>
      <c r="U54" s="1515">
        <v>1</v>
      </c>
      <c r="V54" s="1515">
        <v>1</v>
      </c>
      <c r="W54" s="1515">
        <v>21.132111303741198</v>
      </c>
      <c r="X54" s="1515">
        <v>1</v>
      </c>
      <c r="Y54" s="565">
        <v>1</v>
      </c>
      <c r="Z54" s="1514">
        <v>0</v>
      </c>
      <c r="AA54" s="1515">
        <v>0</v>
      </c>
      <c r="AB54" s="1515">
        <v>0</v>
      </c>
      <c r="AC54" s="1515">
        <v>139.01182523438226</v>
      </c>
      <c r="AD54" s="1515">
        <v>248.71904903049548</v>
      </c>
      <c r="AE54" s="565">
        <v>0</v>
      </c>
    </row>
    <row r="55" spans="1:31" s="250" customFormat="1" ht="13.5" thickBot="1" x14ac:dyDescent="0.25">
      <c r="A55" s="3"/>
      <c r="B55" s="569">
        <v>2040</v>
      </c>
      <c r="C55" s="572">
        <v>141725.82701295713</v>
      </c>
      <c r="D55" s="1486">
        <v>6735.7755801832827</v>
      </c>
      <c r="E55" s="1486">
        <v>6972.1971367946244</v>
      </c>
      <c r="F55" s="1486">
        <v>20662.410250253131</v>
      </c>
      <c r="G55" s="1486">
        <v>27723.881276528147</v>
      </c>
      <c r="H55" s="1487">
        <v>10012.916926310776</v>
      </c>
      <c r="I55" s="1479">
        <v>0</v>
      </c>
      <c r="J55" s="573">
        <v>0</v>
      </c>
      <c r="K55" s="573">
        <v>0</v>
      </c>
      <c r="L55" s="573">
        <v>0</v>
      </c>
      <c r="M55" s="1494">
        <v>0</v>
      </c>
      <c r="N55" s="1525">
        <v>7.4249655877105027</v>
      </c>
      <c r="O55" s="1502">
        <f t="shared" si="14"/>
        <v>8.7220069407450875</v>
      </c>
      <c r="P55" s="1502">
        <f t="shared" si="13"/>
        <v>8.7705076286791712</v>
      </c>
      <c r="Q55" s="1505">
        <v>9.2083754364394963</v>
      </c>
      <c r="R55" s="1505">
        <v>19.695080950675614</v>
      </c>
      <c r="S55" s="581">
        <v>10.482136578214712</v>
      </c>
      <c r="T55" s="1516">
        <v>1</v>
      </c>
      <c r="U55" s="1517">
        <v>1</v>
      </c>
      <c r="V55" s="1517">
        <v>1</v>
      </c>
      <c r="W55" s="1517">
        <v>21.222953525602794</v>
      </c>
      <c r="X55" s="1517">
        <v>1</v>
      </c>
      <c r="Y55" s="571">
        <v>1</v>
      </c>
      <c r="Z55" s="1516">
        <v>0</v>
      </c>
      <c r="AA55" s="1517">
        <v>0</v>
      </c>
      <c r="AB55" s="1517">
        <v>0</v>
      </c>
      <c r="AC55" s="1517">
        <v>139.10234045498501</v>
      </c>
      <c r="AD55" s="1517">
        <v>248.76258148807767</v>
      </c>
      <c r="AE55" s="571">
        <v>0</v>
      </c>
    </row>
    <row r="56" spans="1:31" s="250" customFormat="1" x14ac:dyDescent="0.2">
      <c r="A56" s="3"/>
      <c r="B56" s="590">
        <v>2041</v>
      </c>
      <c r="C56" s="593">
        <v>141725.82701295713</v>
      </c>
      <c r="D56" s="1482">
        <v>6735.7755801832827</v>
      </c>
      <c r="E56" s="1482">
        <v>6972.1971367946244</v>
      </c>
      <c r="F56" s="1482">
        <v>20516.056093991705</v>
      </c>
      <c r="G56" s="1482">
        <v>27144.913838167209</v>
      </c>
      <c r="H56" s="1483">
        <v>9480.1730193018448</v>
      </c>
      <c r="I56" s="1481">
        <v>0</v>
      </c>
      <c r="J56" s="594">
        <v>0</v>
      </c>
      <c r="K56" s="594">
        <v>0</v>
      </c>
      <c r="L56" s="594">
        <v>0</v>
      </c>
      <c r="M56" s="1496">
        <v>0</v>
      </c>
      <c r="N56" s="1523">
        <v>7.4251022344808906</v>
      </c>
      <c r="O56" s="1504">
        <f t="shared" si="14"/>
        <v>8.7221674578634065</v>
      </c>
      <c r="P56" s="1504">
        <f t="shared" si="13"/>
        <v>8.7706690383891512</v>
      </c>
      <c r="Q56" s="1504">
        <v>9.2693049625208577</v>
      </c>
      <c r="R56" s="1504">
        <v>19.775217484496366</v>
      </c>
      <c r="S56" s="580">
        <v>10.585176716196342</v>
      </c>
      <c r="T56" s="1512">
        <v>1</v>
      </c>
      <c r="U56" s="1513">
        <v>1</v>
      </c>
      <c r="V56" s="1513">
        <v>1</v>
      </c>
      <c r="W56" s="1513">
        <v>21.313799076813726</v>
      </c>
      <c r="X56" s="1513">
        <v>1</v>
      </c>
      <c r="Y56" s="592">
        <v>1</v>
      </c>
      <c r="Z56" s="1512">
        <v>0</v>
      </c>
      <c r="AA56" s="1513">
        <v>0</v>
      </c>
      <c r="AB56" s="1513">
        <v>0</v>
      </c>
      <c r="AC56" s="1513">
        <v>139.19285567558777</v>
      </c>
      <c r="AD56" s="1513">
        <v>248.80611394565986</v>
      </c>
      <c r="AE56" s="592">
        <v>0</v>
      </c>
    </row>
    <row r="57" spans="1:31" s="250" customFormat="1" x14ac:dyDescent="0.2">
      <c r="A57" s="3"/>
      <c r="B57" s="563">
        <v>2042</v>
      </c>
      <c r="C57" s="566">
        <v>141725.82701295713</v>
      </c>
      <c r="D57" s="1484">
        <v>6735.7755801832827</v>
      </c>
      <c r="E57" s="1484">
        <v>6972.1971367946244</v>
      </c>
      <c r="F57" s="1484">
        <v>20369.701937730279</v>
      </c>
      <c r="G57" s="1484">
        <v>26565.946399806271</v>
      </c>
      <c r="H57" s="1485">
        <v>8947.4291122929135</v>
      </c>
      <c r="I57" s="1478">
        <v>0</v>
      </c>
      <c r="J57" s="567">
        <v>0</v>
      </c>
      <c r="K57" s="567">
        <v>0</v>
      </c>
      <c r="L57" s="567">
        <v>0</v>
      </c>
      <c r="M57" s="1493">
        <v>0</v>
      </c>
      <c r="N57" s="1524">
        <v>7.4252388812512784</v>
      </c>
      <c r="O57" s="1500">
        <f t="shared" si="14"/>
        <v>8.7223279749817255</v>
      </c>
      <c r="P57" s="1500">
        <f t="shared" si="13"/>
        <v>8.7708304480991313</v>
      </c>
      <c r="Q57" s="1500">
        <v>9.3302367249796934</v>
      </c>
      <c r="R57" s="1500">
        <v>19.855356954537768</v>
      </c>
      <c r="S57" s="568">
        <v>10.688220639645456</v>
      </c>
      <c r="T57" s="1514">
        <v>1</v>
      </c>
      <c r="U57" s="1515">
        <v>1</v>
      </c>
      <c r="V57" s="1515">
        <v>1</v>
      </c>
      <c r="W57" s="1515">
        <v>21.404647957373989</v>
      </c>
      <c r="X57" s="1515">
        <v>1</v>
      </c>
      <c r="Y57" s="565">
        <v>1</v>
      </c>
      <c r="Z57" s="1514">
        <v>0</v>
      </c>
      <c r="AA57" s="1515">
        <v>0</v>
      </c>
      <c r="AB57" s="1515">
        <v>0</v>
      </c>
      <c r="AC57" s="1515">
        <v>139.28337089619052</v>
      </c>
      <c r="AD57" s="1515">
        <v>248.84964640324205</v>
      </c>
      <c r="AE57" s="565">
        <v>0</v>
      </c>
    </row>
    <row r="58" spans="1:31" s="250" customFormat="1" x14ac:dyDescent="0.2">
      <c r="A58" s="3"/>
      <c r="B58" s="563">
        <v>2043</v>
      </c>
      <c r="C58" s="566">
        <v>141725.82701295713</v>
      </c>
      <c r="D58" s="1484">
        <v>6735.7755801832827</v>
      </c>
      <c r="E58" s="1484">
        <v>6972.1971367946244</v>
      </c>
      <c r="F58" s="1484">
        <v>20223.347781468852</v>
      </c>
      <c r="G58" s="1484">
        <v>25986.978961445333</v>
      </c>
      <c r="H58" s="1485">
        <v>8414.6852052839822</v>
      </c>
      <c r="I58" s="1478">
        <v>0</v>
      </c>
      <c r="J58" s="567">
        <v>0</v>
      </c>
      <c r="K58" s="567">
        <v>0</v>
      </c>
      <c r="L58" s="567">
        <v>0</v>
      </c>
      <c r="M58" s="1493">
        <v>0</v>
      </c>
      <c r="N58" s="1524">
        <v>7.4253755280216662</v>
      </c>
      <c r="O58" s="1500">
        <f t="shared" si="14"/>
        <v>8.7224884921000445</v>
      </c>
      <c r="P58" s="1500">
        <f t="shared" si="13"/>
        <v>8.7709918578091095</v>
      </c>
      <c r="Q58" s="1500">
        <v>9.3911707238160052</v>
      </c>
      <c r="R58" s="1500">
        <v>19.93549936079982</v>
      </c>
      <c r="S58" s="568">
        <v>10.791268348562058</v>
      </c>
      <c r="T58" s="1514">
        <v>1</v>
      </c>
      <c r="U58" s="1515">
        <v>1</v>
      </c>
      <c r="V58" s="1515">
        <v>1</v>
      </c>
      <c r="W58" s="1515">
        <v>21.495500167283588</v>
      </c>
      <c r="X58" s="1515">
        <v>1</v>
      </c>
      <c r="Y58" s="565">
        <v>1</v>
      </c>
      <c r="Z58" s="1514">
        <v>0</v>
      </c>
      <c r="AA58" s="1515">
        <v>0</v>
      </c>
      <c r="AB58" s="1515">
        <v>0</v>
      </c>
      <c r="AC58" s="1515">
        <v>139.37388611679327</v>
      </c>
      <c r="AD58" s="1515">
        <v>248.89317886082424</v>
      </c>
      <c r="AE58" s="565">
        <v>0</v>
      </c>
    </row>
    <row r="59" spans="1:31" s="250" customFormat="1" x14ac:dyDescent="0.2">
      <c r="A59" s="3"/>
      <c r="B59" s="563">
        <v>2044</v>
      </c>
      <c r="C59" s="566">
        <v>141725.82701295713</v>
      </c>
      <c r="D59" s="1484">
        <v>6735.7755801832827</v>
      </c>
      <c r="E59" s="1484">
        <v>6972.1971367946244</v>
      </c>
      <c r="F59" s="1484">
        <v>20076.993625207426</v>
      </c>
      <c r="G59" s="1484">
        <v>25408.011523084395</v>
      </c>
      <c r="H59" s="1485">
        <v>7881.9412982750509</v>
      </c>
      <c r="I59" s="1478">
        <v>0</v>
      </c>
      <c r="J59" s="567">
        <v>0</v>
      </c>
      <c r="K59" s="567">
        <v>0</v>
      </c>
      <c r="L59" s="567">
        <v>0</v>
      </c>
      <c r="M59" s="1493">
        <v>0</v>
      </c>
      <c r="N59" s="1524">
        <v>7.4255121747920541</v>
      </c>
      <c r="O59" s="1500">
        <f t="shared" si="14"/>
        <v>8.7226490092183617</v>
      </c>
      <c r="P59" s="1500">
        <f t="shared" si="13"/>
        <v>8.7711532675190895</v>
      </c>
      <c r="Q59" s="1500">
        <v>9.4521069590297895</v>
      </c>
      <c r="R59" s="1500">
        <v>20.015644703282518</v>
      </c>
      <c r="S59" s="568">
        <v>10.894319842946146</v>
      </c>
      <c r="T59" s="1514">
        <v>1</v>
      </c>
      <c r="U59" s="1515">
        <v>1</v>
      </c>
      <c r="V59" s="1515">
        <v>1</v>
      </c>
      <c r="W59" s="1515">
        <v>21.586355706542516</v>
      </c>
      <c r="X59" s="1515">
        <v>1</v>
      </c>
      <c r="Y59" s="565">
        <v>1</v>
      </c>
      <c r="Z59" s="1514">
        <v>0</v>
      </c>
      <c r="AA59" s="1515">
        <v>0</v>
      </c>
      <c r="AB59" s="1515">
        <v>0</v>
      </c>
      <c r="AC59" s="1515">
        <v>139.46440133739603</v>
      </c>
      <c r="AD59" s="1515">
        <v>248.93671131840642</v>
      </c>
      <c r="AE59" s="565">
        <v>0</v>
      </c>
    </row>
    <row r="60" spans="1:31" s="250" customFormat="1" ht="13.5" thickBot="1" x14ac:dyDescent="0.25">
      <c r="A60" s="3"/>
      <c r="B60" s="569">
        <v>2045</v>
      </c>
      <c r="C60" s="572">
        <v>141725.82701295713</v>
      </c>
      <c r="D60" s="1486">
        <v>6735.7755801832827</v>
      </c>
      <c r="E60" s="1486">
        <v>6972.1971367946244</v>
      </c>
      <c r="F60" s="1486">
        <v>19930.639468945999</v>
      </c>
      <c r="G60" s="1486">
        <v>24829.044084723457</v>
      </c>
      <c r="H60" s="1487">
        <v>7349.1973912661197</v>
      </c>
      <c r="I60" s="1479">
        <v>0</v>
      </c>
      <c r="J60" s="573">
        <v>0</v>
      </c>
      <c r="K60" s="573">
        <v>0</v>
      </c>
      <c r="L60" s="573">
        <v>0</v>
      </c>
      <c r="M60" s="1494">
        <v>0</v>
      </c>
      <c r="N60" s="1525">
        <v>7.4256488215624419</v>
      </c>
      <c r="O60" s="1502">
        <f t="shared" si="14"/>
        <v>8.7228095263366807</v>
      </c>
      <c r="P60" s="1502">
        <f t="shared" si="13"/>
        <v>8.7713146772290695</v>
      </c>
      <c r="Q60" s="1502">
        <v>9.5130454306210481</v>
      </c>
      <c r="R60" s="1502">
        <v>20.09579298198587</v>
      </c>
      <c r="S60" s="574">
        <v>10.997375122797722</v>
      </c>
      <c r="T60" s="1516">
        <v>1</v>
      </c>
      <c r="U60" s="1517">
        <v>1</v>
      </c>
      <c r="V60" s="1517">
        <v>1</v>
      </c>
      <c r="W60" s="1517">
        <v>21.677214575150781</v>
      </c>
      <c r="X60" s="1517">
        <v>1</v>
      </c>
      <c r="Y60" s="571">
        <v>1</v>
      </c>
      <c r="Z60" s="1516">
        <v>0</v>
      </c>
      <c r="AA60" s="1517">
        <v>0</v>
      </c>
      <c r="AB60" s="1517">
        <v>0</v>
      </c>
      <c r="AC60" s="1517">
        <v>139.55491655799878</v>
      </c>
      <c r="AD60" s="1517">
        <v>248.98024377598861</v>
      </c>
      <c r="AE60" s="571">
        <v>0</v>
      </c>
    </row>
    <row r="61" spans="1:31" s="250" customFormat="1" x14ac:dyDescent="0.2">
      <c r="A61" s="3"/>
      <c r="B61" s="590">
        <v>2046</v>
      </c>
      <c r="C61" s="593">
        <v>141725.82701295713</v>
      </c>
      <c r="D61" s="1482">
        <v>6735.7755801832827</v>
      </c>
      <c r="E61" s="1482">
        <v>6972.1971367946244</v>
      </c>
      <c r="F61" s="1482">
        <v>19784.285312684573</v>
      </c>
      <c r="G61" s="1482">
        <v>24250.076646362519</v>
      </c>
      <c r="H61" s="1483">
        <v>6816.4534842571884</v>
      </c>
      <c r="I61" s="1481">
        <v>0</v>
      </c>
      <c r="J61" s="594">
        <v>0</v>
      </c>
      <c r="K61" s="594">
        <v>0</v>
      </c>
      <c r="L61" s="594">
        <v>0</v>
      </c>
      <c r="M61" s="1496">
        <v>0</v>
      </c>
      <c r="N61" s="1523">
        <v>7.4257854683328297</v>
      </c>
      <c r="O61" s="1498">
        <f t="shared" si="14"/>
        <v>8.7229700434549997</v>
      </c>
      <c r="P61" s="1498">
        <f t="shared" si="13"/>
        <v>8.7714760869390478</v>
      </c>
      <c r="Q61" s="1498">
        <v>9.5739861385897829</v>
      </c>
      <c r="R61" s="1498">
        <v>20.175944196909864</v>
      </c>
      <c r="S61" s="595">
        <v>11.100434188116783</v>
      </c>
      <c r="T61" s="1512">
        <v>1</v>
      </c>
      <c r="U61" s="1513">
        <v>1</v>
      </c>
      <c r="V61" s="1513">
        <v>1</v>
      </c>
      <c r="W61" s="1513">
        <v>21.768076773108383</v>
      </c>
      <c r="X61" s="1513">
        <v>1</v>
      </c>
      <c r="Y61" s="592">
        <v>1</v>
      </c>
      <c r="Z61" s="1512">
        <v>0</v>
      </c>
      <c r="AA61" s="1513">
        <v>0</v>
      </c>
      <c r="AB61" s="1513">
        <v>0</v>
      </c>
      <c r="AC61" s="1513">
        <v>139.64543177860153</v>
      </c>
      <c r="AD61" s="1513">
        <v>249.0237762335708</v>
      </c>
      <c r="AE61" s="592">
        <v>0</v>
      </c>
    </row>
    <row r="62" spans="1:31" s="250" customFormat="1" x14ac:dyDescent="0.2">
      <c r="A62" s="3"/>
      <c r="B62" s="563">
        <v>2047</v>
      </c>
      <c r="C62" s="566">
        <v>141725.82701295713</v>
      </c>
      <c r="D62" s="1484">
        <v>6735.7755801832827</v>
      </c>
      <c r="E62" s="1484">
        <v>6972.1971367946244</v>
      </c>
      <c r="F62" s="1484">
        <v>19637.931156423147</v>
      </c>
      <c r="G62" s="1484">
        <v>23671.109208001581</v>
      </c>
      <c r="H62" s="1485">
        <v>6283.7095772482571</v>
      </c>
      <c r="I62" s="1478">
        <v>0</v>
      </c>
      <c r="J62" s="567">
        <v>0</v>
      </c>
      <c r="K62" s="567">
        <v>0</v>
      </c>
      <c r="L62" s="567">
        <v>0</v>
      </c>
      <c r="M62" s="1493">
        <v>0</v>
      </c>
      <c r="N62" s="1524">
        <v>7.4259221151032175</v>
      </c>
      <c r="O62" s="1500">
        <f t="shared" si="14"/>
        <v>8.7231305605733169</v>
      </c>
      <c r="P62" s="1500">
        <f t="shared" si="13"/>
        <v>8.7716374966490278</v>
      </c>
      <c r="Q62" s="1500">
        <v>9.6349290829359937</v>
      </c>
      <c r="R62" s="1500">
        <v>20.256098348054515</v>
      </c>
      <c r="S62" s="568">
        <v>11.203497038903331</v>
      </c>
      <c r="T62" s="1514">
        <v>1</v>
      </c>
      <c r="U62" s="1515">
        <v>1</v>
      </c>
      <c r="V62" s="1515">
        <v>1</v>
      </c>
      <c r="W62" s="1515">
        <v>21.858942300415315</v>
      </c>
      <c r="X62" s="1515">
        <v>1</v>
      </c>
      <c r="Y62" s="565">
        <v>1</v>
      </c>
      <c r="Z62" s="1514">
        <v>0</v>
      </c>
      <c r="AA62" s="1515">
        <v>0</v>
      </c>
      <c r="AB62" s="1515">
        <v>0</v>
      </c>
      <c r="AC62" s="1515">
        <v>139.73594699920429</v>
      </c>
      <c r="AD62" s="1515">
        <v>249.06730869115299</v>
      </c>
      <c r="AE62" s="565">
        <v>0</v>
      </c>
    </row>
    <row r="63" spans="1:31" s="250" customFormat="1" x14ac:dyDescent="0.2">
      <c r="A63" s="3"/>
      <c r="B63" s="563">
        <v>2048</v>
      </c>
      <c r="C63" s="566">
        <v>141725.82701295713</v>
      </c>
      <c r="D63" s="1484">
        <v>6735.7755801832827</v>
      </c>
      <c r="E63" s="1484">
        <v>6972.1971367946244</v>
      </c>
      <c r="F63" s="1484">
        <v>19491.57700016172</v>
      </c>
      <c r="G63" s="1484">
        <v>23092.141769640642</v>
      </c>
      <c r="H63" s="1485">
        <v>5750.9656702393258</v>
      </c>
      <c r="I63" s="1478">
        <v>0</v>
      </c>
      <c r="J63" s="567">
        <v>0</v>
      </c>
      <c r="K63" s="567">
        <v>0</v>
      </c>
      <c r="L63" s="567">
        <v>0</v>
      </c>
      <c r="M63" s="1493">
        <v>0</v>
      </c>
      <c r="N63" s="1524">
        <v>7.4260587618736054</v>
      </c>
      <c r="O63" s="1500">
        <f t="shared" si="14"/>
        <v>8.7232910776916359</v>
      </c>
      <c r="P63" s="1500">
        <f t="shared" si="13"/>
        <v>8.7717989063590078</v>
      </c>
      <c r="Q63" s="1500">
        <v>9.6958742636596789</v>
      </c>
      <c r="R63" s="1500">
        <v>20.336255435419812</v>
      </c>
      <c r="S63" s="568">
        <v>11.306563675157365</v>
      </c>
      <c r="T63" s="1514">
        <v>1</v>
      </c>
      <c r="U63" s="1515">
        <v>1</v>
      </c>
      <c r="V63" s="1515">
        <v>1</v>
      </c>
      <c r="W63" s="1515">
        <v>21.949811157071583</v>
      </c>
      <c r="X63" s="1515">
        <v>1</v>
      </c>
      <c r="Y63" s="565">
        <v>1</v>
      </c>
      <c r="Z63" s="1514">
        <v>0</v>
      </c>
      <c r="AA63" s="1515">
        <v>0</v>
      </c>
      <c r="AB63" s="1515">
        <v>0</v>
      </c>
      <c r="AC63" s="1515">
        <v>139.82646221980704</v>
      </c>
      <c r="AD63" s="1515">
        <v>249.11084114873518</v>
      </c>
      <c r="AE63" s="565">
        <v>0</v>
      </c>
    </row>
    <row r="64" spans="1:31" s="250" customFormat="1" x14ac:dyDescent="0.2">
      <c r="A64" s="3"/>
      <c r="B64" s="563">
        <v>2049</v>
      </c>
      <c r="C64" s="566">
        <v>141725.82701295713</v>
      </c>
      <c r="D64" s="1484">
        <v>6735.7755801832827</v>
      </c>
      <c r="E64" s="1484">
        <v>6972.1971367946244</v>
      </c>
      <c r="F64" s="1484">
        <v>19345.222843900294</v>
      </c>
      <c r="G64" s="1484">
        <v>22513.174331279704</v>
      </c>
      <c r="H64" s="1485">
        <v>5218.2217632303946</v>
      </c>
      <c r="I64" s="1478">
        <v>0</v>
      </c>
      <c r="J64" s="567">
        <v>0</v>
      </c>
      <c r="K64" s="567">
        <v>0</v>
      </c>
      <c r="L64" s="567">
        <v>0</v>
      </c>
      <c r="M64" s="1493">
        <v>0</v>
      </c>
      <c r="N64" s="1524">
        <v>7.4261954086439932</v>
      </c>
      <c r="O64" s="1500">
        <f t="shared" si="14"/>
        <v>8.7234515948099531</v>
      </c>
      <c r="P64" s="1500">
        <f t="shared" si="13"/>
        <v>8.7719603160689879</v>
      </c>
      <c r="Q64" s="1500">
        <v>9.7568216807608366</v>
      </c>
      <c r="R64" s="1500">
        <v>20.416415459005755</v>
      </c>
      <c r="S64" s="568">
        <v>11.409634096878888</v>
      </c>
      <c r="T64" s="1514">
        <v>1</v>
      </c>
      <c r="U64" s="1515">
        <v>1</v>
      </c>
      <c r="V64" s="1515">
        <v>1</v>
      </c>
      <c r="W64" s="1515">
        <v>22.040683343077188</v>
      </c>
      <c r="X64" s="1515">
        <v>1</v>
      </c>
      <c r="Y64" s="565">
        <v>1</v>
      </c>
      <c r="Z64" s="1514">
        <v>0</v>
      </c>
      <c r="AA64" s="1515">
        <v>0</v>
      </c>
      <c r="AB64" s="1515">
        <v>0</v>
      </c>
      <c r="AC64" s="1515">
        <v>139.9169774404098</v>
      </c>
      <c r="AD64" s="1515">
        <v>249.15437360631736</v>
      </c>
      <c r="AE64" s="565">
        <v>0</v>
      </c>
    </row>
    <row r="65" spans="1:31" s="250" customFormat="1" ht="13.5" thickBot="1" x14ac:dyDescent="0.25">
      <c r="A65" s="3"/>
      <c r="B65" s="569">
        <v>2050</v>
      </c>
      <c r="C65" s="572">
        <v>141725.82701295713</v>
      </c>
      <c r="D65" s="1486">
        <v>6735.7755801832827</v>
      </c>
      <c r="E65" s="1486">
        <v>6972.1971367946244</v>
      </c>
      <c r="F65" s="1486">
        <v>19198.868687638751</v>
      </c>
      <c r="G65" s="1486">
        <v>21934.206892918737</v>
      </c>
      <c r="H65" s="1487">
        <v>4685.4778562216088</v>
      </c>
      <c r="I65" s="1479">
        <v>0</v>
      </c>
      <c r="J65" s="573">
        <v>0</v>
      </c>
      <c r="K65" s="573">
        <v>0</v>
      </c>
      <c r="L65" s="573">
        <v>0</v>
      </c>
      <c r="M65" s="1494">
        <v>0</v>
      </c>
      <c r="N65" s="1525">
        <v>7.4263320554143801</v>
      </c>
      <c r="O65" s="1502">
        <f t="shared" si="14"/>
        <v>8.7236121119282704</v>
      </c>
      <c r="P65" s="1502">
        <f t="shared" si="13"/>
        <v>8.7721217257789661</v>
      </c>
      <c r="Q65" s="1505">
        <v>9.8177713342394597</v>
      </c>
      <c r="R65" s="1505">
        <v>20.496578418812327</v>
      </c>
      <c r="S65" s="581">
        <v>11.5127083040679</v>
      </c>
      <c r="T65" s="1516">
        <v>1</v>
      </c>
      <c r="U65" s="1517">
        <v>1</v>
      </c>
      <c r="V65" s="1517">
        <v>1</v>
      </c>
      <c r="W65" s="1517">
        <v>22.131558858432097</v>
      </c>
      <c r="X65" s="1517">
        <v>1</v>
      </c>
      <c r="Y65" s="571">
        <v>1</v>
      </c>
      <c r="Z65" s="1516">
        <v>0</v>
      </c>
      <c r="AA65" s="1517">
        <v>0</v>
      </c>
      <c r="AB65" s="1517">
        <v>0</v>
      </c>
      <c r="AC65" s="1517">
        <v>140.00749266101252</v>
      </c>
      <c r="AD65" s="1517">
        <v>249.19790606389955</v>
      </c>
      <c r="AE65" s="571">
        <v>0</v>
      </c>
    </row>
    <row r="66" spans="1:31" s="250" customFormat="1" x14ac:dyDescent="0.2">
      <c r="A66" s="3"/>
      <c r="B66" s="248"/>
      <c r="C66" s="247"/>
      <c r="E66" s="2"/>
      <c r="F66" s="247"/>
      <c r="G66" s="5"/>
      <c r="H66" s="6"/>
      <c r="I66" s="848"/>
      <c r="J66" s="848"/>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51"/>
      <c r="C68" s="9" t="s">
        <v>204</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0" zoomScaleNormal="100" workbookViewId="0">
      <selection activeCell="O46" sqref="O46:P46"/>
    </sheetView>
  </sheetViews>
  <sheetFormatPr defaultColWidth="9.140625" defaultRowHeight="12.75" x14ac:dyDescent="0.2"/>
  <cols>
    <col min="1" max="1" width="1.5703125" style="517" customWidth="1"/>
    <col min="2" max="2" width="9.140625" style="517"/>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154</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9"/>
      <c r="I6" s="703"/>
      <c r="J6" s="1543" t="s">
        <v>76</v>
      </c>
      <c r="K6" s="1544"/>
      <c r="L6" s="1534" t="s">
        <v>83</v>
      </c>
      <c r="M6" s="1535"/>
      <c r="N6" s="1534" t="s">
        <v>109</v>
      </c>
      <c r="O6" s="1535"/>
    </row>
    <row r="7" spans="1:27" ht="27" customHeight="1" thickBot="1" x14ac:dyDescent="0.3">
      <c r="B7" s="526"/>
      <c r="C7" s="702" t="s">
        <v>75</v>
      </c>
      <c r="D7" s="700"/>
      <c r="E7" s="701"/>
      <c r="F7" s="705" t="s">
        <v>217</v>
      </c>
      <c r="G7" s="705" t="s">
        <v>216</v>
      </c>
      <c r="H7" s="940"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9"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1000" t="b">
        <f t="shared" ref="H9:H13" si="0">IF(AND(F9="Electricity",G9="N/A"),TRUE,FALSE)</f>
        <v>0</v>
      </c>
      <c r="I9" s="544">
        <v>2021</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1000" t="b">
        <f t="shared" si="0"/>
        <v>0</v>
      </c>
      <c r="I10" s="544">
        <v>2021</v>
      </c>
      <c r="J10" s="545">
        <v>0</v>
      </c>
      <c r="K10" s="546">
        <v>0.5</v>
      </c>
      <c r="L10" s="547">
        <v>5000</v>
      </c>
      <c r="M10" s="548">
        <v>100</v>
      </c>
      <c r="N10" s="549">
        <v>0</v>
      </c>
      <c r="O10" s="550">
        <v>350</v>
      </c>
    </row>
    <row r="11" spans="1:27" x14ac:dyDescent="0.2">
      <c r="B11" s="614" t="s">
        <v>67</v>
      </c>
      <c r="C11" s="607" t="s">
        <v>332</v>
      </c>
      <c r="D11" s="622"/>
      <c r="E11" s="623"/>
      <c r="F11" s="615" t="s">
        <v>5</v>
      </c>
      <c r="G11" s="615" t="s">
        <v>235</v>
      </c>
      <c r="H11" s="1001" t="b">
        <f t="shared" si="0"/>
        <v>0</v>
      </c>
      <c r="I11" s="544">
        <v>2021</v>
      </c>
      <c r="J11" s="616">
        <v>0</v>
      </c>
      <c r="K11" s="617">
        <v>0.5</v>
      </c>
      <c r="L11" s="618">
        <v>5000</v>
      </c>
      <c r="M11" s="619">
        <v>100</v>
      </c>
      <c r="N11" s="620">
        <v>0</v>
      </c>
      <c r="O11" s="621">
        <v>350</v>
      </c>
      <c r="P11" s="518"/>
    </row>
    <row r="12" spans="1:27" x14ac:dyDescent="0.2">
      <c r="B12" s="614" t="s">
        <v>207</v>
      </c>
      <c r="C12" s="607" t="s">
        <v>333</v>
      </c>
      <c r="D12" s="622"/>
      <c r="E12" s="623"/>
      <c r="F12" s="615" t="s">
        <v>5</v>
      </c>
      <c r="G12" s="615" t="s">
        <v>6</v>
      </c>
      <c r="H12" s="1001" t="b">
        <f t="shared" si="0"/>
        <v>0</v>
      </c>
      <c r="I12" s="544">
        <v>2021</v>
      </c>
      <c r="J12" s="616">
        <v>0</v>
      </c>
      <c r="K12" s="617">
        <v>0.5</v>
      </c>
      <c r="L12" s="618">
        <v>5000</v>
      </c>
      <c r="M12" s="619">
        <v>100</v>
      </c>
      <c r="N12" s="620">
        <v>0</v>
      </c>
      <c r="O12" s="621">
        <v>350</v>
      </c>
    </row>
    <row r="13" spans="1:27" ht="13.5" thickBot="1" x14ac:dyDescent="0.25">
      <c r="B13" s="551" t="s">
        <v>208</v>
      </c>
      <c r="C13" s="610" t="s">
        <v>334</v>
      </c>
      <c r="D13" s="611"/>
      <c r="E13" s="612"/>
      <c r="F13" s="552" t="s">
        <v>6</v>
      </c>
      <c r="G13" s="552" t="s">
        <v>235</v>
      </c>
      <c r="H13" s="1002" t="b">
        <f t="shared" si="0"/>
        <v>1</v>
      </c>
      <c r="I13" s="553">
        <v>2021</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1008"/>
      <c r="D15" s="518"/>
      <c r="F15" s="518"/>
    </row>
    <row r="16" spans="1:27" ht="13.5" thickBot="1" x14ac:dyDescent="0.25">
      <c r="B16" s="249"/>
      <c r="C16" s="4"/>
      <c r="D16" s="518"/>
      <c r="F16" s="518"/>
      <c r="T16" s="874" t="s">
        <v>236</v>
      </c>
      <c r="U16" s="517" t="s">
        <v>237</v>
      </c>
      <c r="Z16" s="1007"/>
      <c r="AA16" s="517" t="s">
        <v>271</v>
      </c>
    </row>
    <row r="17" spans="2:31" x14ac:dyDescent="0.2">
      <c r="B17" s="249"/>
      <c r="C17" s="251"/>
      <c r="D17" s="518"/>
      <c r="F17" s="518"/>
      <c r="U17" s="517" t="s">
        <v>238</v>
      </c>
      <c r="Z17" s="250"/>
      <c r="AA17" s="517" t="s">
        <v>272</v>
      </c>
    </row>
    <row r="18" spans="2:31" ht="13.5" thickBot="1" x14ac:dyDescent="0.25">
      <c r="B18" s="248"/>
      <c r="C18" s="247"/>
    </row>
    <row r="19" spans="2:31" ht="16.5" thickBot="1" x14ac:dyDescent="0.3">
      <c r="B19" s="849"/>
      <c r="C19" s="1536" t="s">
        <v>227</v>
      </c>
      <c r="D19" s="1537"/>
      <c r="E19" s="1537"/>
      <c r="F19" s="1537"/>
      <c r="G19" s="1537"/>
      <c r="H19" s="1537"/>
      <c r="I19" s="1537" t="s">
        <v>228</v>
      </c>
      <c r="J19" s="1537"/>
      <c r="K19" s="1537"/>
      <c r="L19" s="1537"/>
      <c r="M19" s="1538"/>
      <c r="N19" s="1539" t="s">
        <v>229</v>
      </c>
      <c r="O19" s="1540"/>
      <c r="P19" s="1540"/>
      <c r="Q19" s="1540"/>
      <c r="R19" s="1540"/>
      <c r="S19" s="1541"/>
      <c r="T19" s="1539" t="s">
        <v>230</v>
      </c>
      <c r="U19" s="1540"/>
      <c r="V19" s="1540"/>
      <c r="W19" s="1540"/>
      <c r="X19" s="1540"/>
      <c r="Y19" s="1541"/>
      <c r="Z19" s="1539" t="s">
        <v>232</v>
      </c>
      <c r="AA19" s="1540"/>
      <c r="AB19" s="1540"/>
      <c r="AC19" s="1540"/>
      <c r="AD19" s="1540"/>
      <c r="AE19" s="1541"/>
    </row>
    <row r="20" spans="2: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2:31" ht="13.5" thickBot="1" x14ac:dyDescent="0.25">
      <c r="B21" s="865" t="s">
        <v>3</v>
      </c>
      <c r="C21" s="867"/>
      <c r="D21" s="1394" t="str">
        <f>INDEX($C$9:$C$13,MATCH(D20,$B$9:$B$13,0))</f>
        <v>Adv Conv</v>
      </c>
      <c r="E21" s="1394" t="str">
        <f t="shared" ref="E21:H21" si="1">INDEX($C$9:$C$13,MATCH(E20,$B$9:$B$13,0))</f>
        <v>ISG</v>
      </c>
      <c r="F21" s="1394" t="str">
        <f t="shared" si="1"/>
        <v>HEV</v>
      </c>
      <c r="G21" s="1394" t="str">
        <f t="shared" si="1"/>
        <v>PHEV</v>
      </c>
      <c r="H21" s="1395" t="str">
        <f t="shared" si="1"/>
        <v>BEV</v>
      </c>
      <c r="I21" s="866">
        <v>0</v>
      </c>
      <c r="J21" s="856">
        <v>0</v>
      </c>
      <c r="K21" s="855">
        <v>0</v>
      </c>
      <c r="L21" s="856">
        <v>0</v>
      </c>
      <c r="M21" s="857">
        <v>0</v>
      </c>
      <c r="N21" s="858"/>
      <c r="O21" s="1394" t="str">
        <f>INDEX($C$9:$C$13,MATCH(O20,$B$9:$B$13,0))</f>
        <v>Adv Conv</v>
      </c>
      <c r="P21" s="1394" t="str">
        <f t="shared" ref="P21:S21" si="2">INDEX($C$9:$C$13,MATCH(P20,$B$9:$B$13,0))</f>
        <v>ISG</v>
      </c>
      <c r="Q21" s="1394" t="str">
        <f t="shared" si="2"/>
        <v>HEV</v>
      </c>
      <c r="R21" s="1394" t="str">
        <f t="shared" si="2"/>
        <v>PHEV</v>
      </c>
      <c r="S21" s="1395" t="str">
        <f t="shared" si="2"/>
        <v>BEV</v>
      </c>
      <c r="T21" s="859"/>
      <c r="U21" s="1394" t="str">
        <f>INDEX($C$9:$C$13,MATCH(U20,$B$9:$B$13,0))</f>
        <v>Adv Conv</v>
      </c>
      <c r="V21" s="1394" t="str">
        <f t="shared" ref="V21:Y21" si="3">INDEX($C$9:$C$13,MATCH(V20,$B$9:$B$13,0))</f>
        <v>ISG</v>
      </c>
      <c r="W21" s="1394" t="str">
        <f t="shared" si="3"/>
        <v>HEV</v>
      </c>
      <c r="X21" s="1394" t="str">
        <f t="shared" si="3"/>
        <v>PHEV</v>
      </c>
      <c r="Y21" s="1395" t="str">
        <f t="shared" si="3"/>
        <v>BEV</v>
      </c>
      <c r="Z21" s="858"/>
      <c r="AA21" s="1394" t="str">
        <f>INDEX($C$9:$C$13,MATCH(AA20,$B$9:$B$13,0))</f>
        <v>Adv Conv</v>
      </c>
      <c r="AB21" s="1394" t="str">
        <f t="shared" ref="AB21:AE21" si="4">INDEX($C$9:$C$13,MATCH(AB20,$B$9:$B$13,0))</f>
        <v>ISG</v>
      </c>
      <c r="AC21" s="1394" t="str">
        <f t="shared" si="4"/>
        <v>HEV</v>
      </c>
      <c r="AD21" s="1394" t="str">
        <f t="shared" si="4"/>
        <v>PHEV</v>
      </c>
      <c r="AE21" s="1395" t="str">
        <f t="shared" si="4"/>
        <v>BEV</v>
      </c>
    </row>
    <row r="22" spans="2:31" x14ac:dyDescent="0.2">
      <c r="B22" s="575">
        <v>2007</v>
      </c>
      <c r="C22" s="576">
        <v>96771.806566877567</v>
      </c>
      <c r="D22" s="578">
        <f t="shared" ref="D22:H24" si="5">D23</f>
        <v>1000000</v>
      </c>
      <c r="E22" s="578">
        <f t="shared" si="5"/>
        <v>1000000</v>
      </c>
      <c r="F22" s="578">
        <f t="shared" si="5"/>
        <v>1000000</v>
      </c>
      <c r="G22" s="578">
        <f t="shared" si="5"/>
        <v>1000000</v>
      </c>
      <c r="H22" s="578">
        <f t="shared" si="5"/>
        <v>1000000</v>
      </c>
      <c r="I22" s="579">
        <v>0</v>
      </c>
      <c r="J22" s="579">
        <v>0</v>
      </c>
      <c r="K22" s="579">
        <v>0</v>
      </c>
      <c r="L22" s="579">
        <v>0</v>
      </c>
      <c r="M22" s="579">
        <v>0</v>
      </c>
      <c r="N22" s="582">
        <v>5.8642619111794092</v>
      </c>
      <c r="O22" s="580">
        <f t="shared" ref="O22:W24" si="6">O23</f>
        <v>1</v>
      </c>
      <c r="P22" s="580">
        <f t="shared" si="6"/>
        <v>1</v>
      </c>
      <c r="Q22" s="580">
        <f t="shared" si="6"/>
        <v>1</v>
      </c>
      <c r="R22" s="580">
        <f t="shared" si="6"/>
        <v>1</v>
      </c>
      <c r="S22" s="580">
        <f t="shared" si="6"/>
        <v>1</v>
      </c>
      <c r="T22" s="577">
        <f t="shared" si="6"/>
        <v>1</v>
      </c>
      <c r="U22" s="577">
        <f t="shared" si="6"/>
        <v>1</v>
      </c>
      <c r="V22" s="577">
        <f t="shared" si="6"/>
        <v>1</v>
      </c>
      <c r="W22" s="577">
        <f t="shared" si="6"/>
        <v>1</v>
      </c>
      <c r="X22" s="577">
        <f t="shared" ref="X22:AE24" si="7">X23</f>
        <v>1</v>
      </c>
      <c r="Y22" s="577">
        <f t="shared" si="7"/>
        <v>1</v>
      </c>
      <c r="Z22" s="577">
        <f t="shared" si="7"/>
        <v>0</v>
      </c>
      <c r="AA22" s="577">
        <f t="shared" si="7"/>
        <v>0</v>
      </c>
      <c r="AB22" s="577">
        <f t="shared" si="7"/>
        <v>0</v>
      </c>
      <c r="AC22" s="577">
        <f t="shared" si="7"/>
        <v>0</v>
      </c>
      <c r="AD22" s="577">
        <f t="shared" si="7"/>
        <v>0</v>
      </c>
      <c r="AE22" s="577">
        <f t="shared" si="7"/>
        <v>0</v>
      </c>
    </row>
    <row r="23" spans="2:31" x14ac:dyDescent="0.2">
      <c r="B23" s="563">
        <v>2008</v>
      </c>
      <c r="C23" s="564">
        <v>96771.806566877567</v>
      </c>
      <c r="D23" s="566">
        <f t="shared" si="5"/>
        <v>1000000</v>
      </c>
      <c r="E23" s="566">
        <f t="shared" si="5"/>
        <v>1000000</v>
      </c>
      <c r="F23" s="566">
        <f t="shared" si="5"/>
        <v>1000000</v>
      </c>
      <c r="G23" s="566">
        <f t="shared" si="5"/>
        <v>1000000</v>
      </c>
      <c r="H23" s="566">
        <f t="shared" si="5"/>
        <v>1000000</v>
      </c>
      <c r="I23" s="567">
        <v>0</v>
      </c>
      <c r="J23" s="567">
        <v>0</v>
      </c>
      <c r="K23" s="567">
        <v>0</v>
      </c>
      <c r="L23" s="567">
        <v>0</v>
      </c>
      <c r="M23" s="567">
        <v>0</v>
      </c>
      <c r="N23" s="583">
        <v>5.8642619111794092</v>
      </c>
      <c r="O23" s="568">
        <f t="shared" si="6"/>
        <v>1</v>
      </c>
      <c r="P23" s="568">
        <f t="shared" si="6"/>
        <v>1</v>
      </c>
      <c r="Q23" s="568">
        <f t="shared" si="6"/>
        <v>1</v>
      </c>
      <c r="R23" s="568">
        <f t="shared" si="6"/>
        <v>1</v>
      </c>
      <c r="S23" s="568">
        <f t="shared" si="6"/>
        <v>1</v>
      </c>
      <c r="T23" s="565">
        <f t="shared" si="6"/>
        <v>1</v>
      </c>
      <c r="U23" s="565">
        <f t="shared" si="6"/>
        <v>1</v>
      </c>
      <c r="V23" s="565">
        <f t="shared" si="6"/>
        <v>1</v>
      </c>
      <c r="W23" s="565">
        <f t="shared" si="6"/>
        <v>1</v>
      </c>
      <c r="X23" s="565">
        <f t="shared" si="7"/>
        <v>1</v>
      </c>
      <c r="Y23" s="565">
        <f t="shared" si="7"/>
        <v>1</v>
      </c>
      <c r="Z23" s="565">
        <f t="shared" si="7"/>
        <v>0</v>
      </c>
      <c r="AA23" s="565">
        <f t="shared" si="7"/>
        <v>0</v>
      </c>
      <c r="AB23" s="565">
        <f t="shared" si="7"/>
        <v>0</v>
      </c>
      <c r="AC23" s="565">
        <f t="shared" si="7"/>
        <v>0</v>
      </c>
      <c r="AD23" s="565">
        <f t="shared" si="7"/>
        <v>0</v>
      </c>
      <c r="AE23" s="565">
        <f t="shared" si="7"/>
        <v>0</v>
      </c>
    </row>
    <row r="24" spans="2:31" x14ac:dyDescent="0.2">
      <c r="B24" s="563">
        <v>2009</v>
      </c>
      <c r="C24" s="564">
        <v>96771.806566877567</v>
      </c>
      <c r="D24" s="566">
        <f t="shared" si="5"/>
        <v>1000000</v>
      </c>
      <c r="E24" s="566">
        <f t="shared" si="5"/>
        <v>1000000</v>
      </c>
      <c r="F24" s="566">
        <f t="shared" si="5"/>
        <v>1000000</v>
      </c>
      <c r="G24" s="566">
        <f t="shared" si="5"/>
        <v>1000000</v>
      </c>
      <c r="H24" s="566">
        <f t="shared" si="5"/>
        <v>1000000</v>
      </c>
      <c r="I24" s="567">
        <v>0</v>
      </c>
      <c r="J24" s="567">
        <v>0</v>
      </c>
      <c r="K24" s="567">
        <v>0</v>
      </c>
      <c r="L24" s="567">
        <v>0</v>
      </c>
      <c r="M24" s="567">
        <v>0</v>
      </c>
      <c r="N24" s="583">
        <v>5.8642619111794092</v>
      </c>
      <c r="O24" s="568">
        <f t="shared" si="6"/>
        <v>1</v>
      </c>
      <c r="P24" s="568">
        <f t="shared" si="6"/>
        <v>1</v>
      </c>
      <c r="Q24" s="568">
        <f t="shared" si="6"/>
        <v>1</v>
      </c>
      <c r="R24" s="568">
        <f t="shared" si="6"/>
        <v>1</v>
      </c>
      <c r="S24" s="568">
        <f t="shared" si="6"/>
        <v>1</v>
      </c>
      <c r="T24" s="565">
        <f t="shared" si="6"/>
        <v>1</v>
      </c>
      <c r="U24" s="565">
        <f t="shared" si="6"/>
        <v>1</v>
      </c>
      <c r="V24" s="565">
        <f t="shared" si="6"/>
        <v>1</v>
      </c>
      <c r="W24" s="565">
        <f t="shared" si="6"/>
        <v>1</v>
      </c>
      <c r="X24" s="565">
        <f t="shared" si="7"/>
        <v>1</v>
      </c>
      <c r="Y24" s="565">
        <f t="shared" si="7"/>
        <v>1</v>
      </c>
      <c r="Z24" s="565">
        <f t="shared" si="7"/>
        <v>0</v>
      </c>
      <c r="AA24" s="565">
        <f t="shared" si="7"/>
        <v>0</v>
      </c>
      <c r="AB24" s="565">
        <f t="shared" si="7"/>
        <v>0</v>
      </c>
      <c r="AC24" s="565">
        <f t="shared" si="7"/>
        <v>0</v>
      </c>
      <c r="AD24" s="565">
        <f t="shared" si="7"/>
        <v>0</v>
      </c>
      <c r="AE24" s="565">
        <f t="shared" si="7"/>
        <v>0</v>
      </c>
    </row>
    <row r="25" spans="2:31" ht="13.5" thickBot="1" x14ac:dyDescent="0.25">
      <c r="B25" s="569">
        <v>2010</v>
      </c>
      <c r="C25" s="570">
        <v>96771.806566877567</v>
      </c>
      <c r="D25" s="572">
        <f t="shared" ref="D25:D33" si="8">D26</f>
        <v>1000000</v>
      </c>
      <c r="E25" s="572">
        <f t="shared" ref="E25:E33" si="9">E26</f>
        <v>1000000</v>
      </c>
      <c r="F25" s="572">
        <f t="shared" ref="F25:F33" si="10">F26</f>
        <v>1000000</v>
      </c>
      <c r="G25" s="572">
        <f t="shared" ref="G25:G33" si="11">G26</f>
        <v>1000000</v>
      </c>
      <c r="H25" s="572">
        <f t="shared" ref="H25:H33" si="12">H26</f>
        <v>1000000</v>
      </c>
      <c r="I25" s="573">
        <v>0</v>
      </c>
      <c r="J25" s="573">
        <v>0</v>
      </c>
      <c r="K25" s="573">
        <v>0</v>
      </c>
      <c r="L25" s="573">
        <v>0</v>
      </c>
      <c r="M25" s="573">
        <v>0</v>
      </c>
      <c r="N25" s="581">
        <v>5.8642619111794092</v>
      </c>
      <c r="O25" s="574">
        <f t="shared" ref="O25:O33" si="13">O26</f>
        <v>1</v>
      </c>
      <c r="P25" s="574">
        <f t="shared" ref="P25:P33" si="14">P26</f>
        <v>1</v>
      </c>
      <c r="Q25" s="574">
        <f t="shared" ref="Q25:Q33" si="15">Q26</f>
        <v>1</v>
      </c>
      <c r="R25" s="574">
        <f t="shared" ref="R25:R33" si="16">R26</f>
        <v>1</v>
      </c>
      <c r="S25" s="574">
        <f t="shared" ref="S25:S33" si="17">S26</f>
        <v>1</v>
      </c>
      <c r="T25" s="571">
        <v>1</v>
      </c>
      <c r="U25" s="571">
        <f t="shared" ref="U25:U33" si="18">U26</f>
        <v>1</v>
      </c>
      <c r="V25" s="571">
        <f t="shared" ref="V25:V33" si="19">V26</f>
        <v>1</v>
      </c>
      <c r="W25" s="571">
        <f t="shared" ref="W25:W33" si="20">W26</f>
        <v>1</v>
      </c>
      <c r="X25" s="571">
        <f t="shared" ref="X25:X33" si="21">X26</f>
        <v>1</v>
      </c>
      <c r="Y25" s="571">
        <f t="shared" ref="Y25:Y34" si="22">Y26</f>
        <v>1</v>
      </c>
      <c r="Z25" s="571">
        <v>0</v>
      </c>
      <c r="AA25" s="571">
        <f t="shared" ref="AA25:AA33" si="23">AA26</f>
        <v>0</v>
      </c>
      <c r="AB25" s="571">
        <f t="shared" ref="AB25:AB33" si="24">AB26</f>
        <v>0</v>
      </c>
      <c r="AC25" s="571">
        <f t="shared" ref="AC25:AC33" si="25">AC26</f>
        <v>0</v>
      </c>
      <c r="AD25" s="571">
        <f t="shared" ref="AD25:AD33" si="26">AD26</f>
        <v>0</v>
      </c>
      <c r="AE25" s="571">
        <f t="shared" ref="AE25:AE33" si="27">AE26</f>
        <v>0</v>
      </c>
    </row>
    <row r="26" spans="2:31" x14ac:dyDescent="0.2">
      <c r="B26" s="575">
        <v>2011</v>
      </c>
      <c r="C26" s="576">
        <v>96771.806566877567</v>
      </c>
      <c r="D26" s="578">
        <f t="shared" si="8"/>
        <v>1000000</v>
      </c>
      <c r="E26" s="578">
        <f t="shared" si="9"/>
        <v>1000000</v>
      </c>
      <c r="F26" s="578">
        <f t="shared" si="10"/>
        <v>1000000</v>
      </c>
      <c r="G26" s="578">
        <f t="shared" si="11"/>
        <v>1000000</v>
      </c>
      <c r="H26" s="578">
        <f t="shared" si="12"/>
        <v>1000000</v>
      </c>
      <c r="I26" s="579">
        <v>0</v>
      </c>
      <c r="J26" s="579">
        <v>0</v>
      </c>
      <c r="K26" s="579">
        <v>0</v>
      </c>
      <c r="L26" s="579">
        <v>0</v>
      </c>
      <c r="M26" s="579">
        <v>0</v>
      </c>
      <c r="N26" s="582">
        <v>5.9342472581274119</v>
      </c>
      <c r="O26" s="580">
        <f t="shared" si="13"/>
        <v>1</v>
      </c>
      <c r="P26" s="580">
        <f t="shared" si="14"/>
        <v>1</v>
      </c>
      <c r="Q26" s="580">
        <f t="shared" si="15"/>
        <v>1</v>
      </c>
      <c r="R26" s="580">
        <f t="shared" si="16"/>
        <v>1</v>
      </c>
      <c r="S26" s="580">
        <f t="shared" si="17"/>
        <v>1</v>
      </c>
      <c r="T26" s="577">
        <v>1</v>
      </c>
      <c r="U26" s="577">
        <f t="shared" si="18"/>
        <v>1</v>
      </c>
      <c r="V26" s="577">
        <f t="shared" si="19"/>
        <v>1</v>
      </c>
      <c r="W26" s="577">
        <f t="shared" si="20"/>
        <v>1</v>
      </c>
      <c r="X26" s="577">
        <f t="shared" si="21"/>
        <v>1</v>
      </c>
      <c r="Y26" s="577">
        <f t="shared" si="22"/>
        <v>1</v>
      </c>
      <c r="Z26" s="577">
        <v>0</v>
      </c>
      <c r="AA26" s="577">
        <f t="shared" si="23"/>
        <v>0</v>
      </c>
      <c r="AB26" s="577">
        <f t="shared" si="24"/>
        <v>0</v>
      </c>
      <c r="AC26" s="577">
        <f t="shared" si="25"/>
        <v>0</v>
      </c>
      <c r="AD26" s="577">
        <f t="shared" si="26"/>
        <v>0</v>
      </c>
      <c r="AE26" s="577">
        <f t="shared" si="27"/>
        <v>0</v>
      </c>
    </row>
    <row r="27" spans="2:31" x14ac:dyDescent="0.2">
      <c r="B27" s="563">
        <v>2012</v>
      </c>
      <c r="C27" s="564">
        <v>96771.806566877567</v>
      </c>
      <c r="D27" s="566">
        <f t="shared" si="8"/>
        <v>1000000</v>
      </c>
      <c r="E27" s="566">
        <f t="shared" si="9"/>
        <v>1000000</v>
      </c>
      <c r="F27" s="566">
        <f t="shared" si="10"/>
        <v>1000000</v>
      </c>
      <c r="G27" s="566">
        <f t="shared" si="11"/>
        <v>1000000</v>
      </c>
      <c r="H27" s="566">
        <f t="shared" si="12"/>
        <v>1000000</v>
      </c>
      <c r="I27" s="567">
        <v>0</v>
      </c>
      <c r="J27" s="567">
        <v>0</v>
      </c>
      <c r="K27" s="567">
        <v>0</v>
      </c>
      <c r="L27" s="567">
        <v>0</v>
      </c>
      <c r="M27" s="567">
        <v>0</v>
      </c>
      <c r="N27" s="583">
        <v>5.9677668403327733</v>
      </c>
      <c r="O27" s="568">
        <f t="shared" si="13"/>
        <v>1</v>
      </c>
      <c r="P27" s="568">
        <f t="shared" si="14"/>
        <v>1</v>
      </c>
      <c r="Q27" s="568">
        <f t="shared" si="15"/>
        <v>1</v>
      </c>
      <c r="R27" s="568">
        <f t="shared" si="16"/>
        <v>1</v>
      </c>
      <c r="S27" s="568">
        <f t="shared" si="17"/>
        <v>1</v>
      </c>
      <c r="T27" s="565">
        <v>1</v>
      </c>
      <c r="U27" s="565">
        <f t="shared" si="18"/>
        <v>1</v>
      </c>
      <c r="V27" s="565">
        <f t="shared" si="19"/>
        <v>1</v>
      </c>
      <c r="W27" s="565">
        <f t="shared" si="20"/>
        <v>1</v>
      </c>
      <c r="X27" s="565">
        <f t="shared" si="21"/>
        <v>1</v>
      </c>
      <c r="Y27" s="565">
        <f t="shared" si="22"/>
        <v>1</v>
      </c>
      <c r="Z27" s="565">
        <v>0</v>
      </c>
      <c r="AA27" s="565">
        <f t="shared" si="23"/>
        <v>0</v>
      </c>
      <c r="AB27" s="565">
        <f t="shared" si="24"/>
        <v>0</v>
      </c>
      <c r="AC27" s="565">
        <f t="shared" si="25"/>
        <v>0</v>
      </c>
      <c r="AD27" s="565">
        <f t="shared" si="26"/>
        <v>0</v>
      </c>
      <c r="AE27" s="565">
        <f t="shared" si="27"/>
        <v>0</v>
      </c>
    </row>
    <row r="28" spans="2:31" x14ac:dyDescent="0.2">
      <c r="B28" s="563">
        <v>2013</v>
      </c>
      <c r="C28" s="564">
        <v>96771.806566877567</v>
      </c>
      <c r="D28" s="566">
        <f t="shared" si="8"/>
        <v>1000000</v>
      </c>
      <c r="E28" s="566">
        <f t="shared" si="9"/>
        <v>1000000</v>
      </c>
      <c r="F28" s="566">
        <f t="shared" si="10"/>
        <v>1000000</v>
      </c>
      <c r="G28" s="566">
        <f t="shared" si="11"/>
        <v>1000000</v>
      </c>
      <c r="H28" s="566">
        <f t="shared" si="12"/>
        <v>1000000</v>
      </c>
      <c r="I28" s="567">
        <v>0</v>
      </c>
      <c r="J28" s="567">
        <v>0</v>
      </c>
      <c r="K28" s="567">
        <v>0</v>
      </c>
      <c r="L28" s="567">
        <v>0</v>
      </c>
      <c r="M28" s="567">
        <v>0</v>
      </c>
      <c r="N28" s="583">
        <v>6.0175065421771956</v>
      </c>
      <c r="O28" s="568">
        <f t="shared" si="13"/>
        <v>1</v>
      </c>
      <c r="P28" s="568">
        <f t="shared" si="14"/>
        <v>1</v>
      </c>
      <c r="Q28" s="568">
        <f t="shared" si="15"/>
        <v>1</v>
      </c>
      <c r="R28" s="568">
        <f t="shared" si="16"/>
        <v>1</v>
      </c>
      <c r="S28" s="568">
        <f t="shared" si="17"/>
        <v>1</v>
      </c>
      <c r="T28" s="565">
        <v>1</v>
      </c>
      <c r="U28" s="565">
        <f t="shared" si="18"/>
        <v>1</v>
      </c>
      <c r="V28" s="565">
        <f t="shared" si="19"/>
        <v>1</v>
      </c>
      <c r="W28" s="565">
        <f t="shared" si="20"/>
        <v>1</v>
      </c>
      <c r="X28" s="565">
        <f t="shared" si="21"/>
        <v>1</v>
      </c>
      <c r="Y28" s="565">
        <f t="shared" si="22"/>
        <v>1</v>
      </c>
      <c r="Z28" s="565">
        <v>0</v>
      </c>
      <c r="AA28" s="565">
        <f t="shared" si="23"/>
        <v>0</v>
      </c>
      <c r="AB28" s="565">
        <f t="shared" si="24"/>
        <v>0</v>
      </c>
      <c r="AC28" s="565">
        <f t="shared" si="25"/>
        <v>0</v>
      </c>
      <c r="AD28" s="565">
        <f t="shared" si="26"/>
        <v>0</v>
      </c>
      <c r="AE28" s="565">
        <f t="shared" si="27"/>
        <v>0</v>
      </c>
    </row>
    <row r="29" spans="2:31" x14ac:dyDescent="0.2">
      <c r="B29" s="563">
        <v>2014</v>
      </c>
      <c r="C29" s="564">
        <v>96771.806566877567</v>
      </c>
      <c r="D29" s="566">
        <f t="shared" si="8"/>
        <v>1000000</v>
      </c>
      <c r="E29" s="566">
        <f t="shared" si="9"/>
        <v>1000000</v>
      </c>
      <c r="F29" s="566">
        <f t="shared" si="10"/>
        <v>1000000</v>
      </c>
      <c r="G29" s="566">
        <f t="shared" si="11"/>
        <v>1000000</v>
      </c>
      <c r="H29" s="566">
        <f t="shared" si="12"/>
        <v>1000000</v>
      </c>
      <c r="I29" s="567">
        <v>0</v>
      </c>
      <c r="J29" s="567">
        <v>0</v>
      </c>
      <c r="K29" s="567">
        <v>0</v>
      </c>
      <c r="L29" s="567">
        <v>0</v>
      </c>
      <c r="M29" s="567">
        <v>0</v>
      </c>
      <c r="N29" s="583">
        <v>6.0817779387217827</v>
      </c>
      <c r="O29" s="568">
        <f t="shared" si="13"/>
        <v>1</v>
      </c>
      <c r="P29" s="568">
        <f t="shared" si="14"/>
        <v>1</v>
      </c>
      <c r="Q29" s="568">
        <f t="shared" si="15"/>
        <v>1</v>
      </c>
      <c r="R29" s="568">
        <f t="shared" si="16"/>
        <v>1</v>
      </c>
      <c r="S29" s="568">
        <f t="shared" si="17"/>
        <v>1</v>
      </c>
      <c r="T29" s="565">
        <v>1</v>
      </c>
      <c r="U29" s="565">
        <f t="shared" si="18"/>
        <v>1</v>
      </c>
      <c r="V29" s="565">
        <f t="shared" si="19"/>
        <v>1</v>
      </c>
      <c r="W29" s="565">
        <f t="shared" si="20"/>
        <v>1</v>
      </c>
      <c r="X29" s="565">
        <f t="shared" si="21"/>
        <v>1</v>
      </c>
      <c r="Y29" s="565">
        <f t="shared" si="22"/>
        <v>1</v>
      </c>
      <c r="Z29" s="565">
        <v>0</v>
      </c>
      <c r="AA29" s="565">
        <f t="shared" si="23"/>
        <v>0</v>
      </c>
      <c r="AB29" s="565">
        <f t="shared" si="24"/>
        <v>0</v>
      </c>
      <c r="AC29" s="565">
        <f t="shared" si="25"/>
        <v>0</v>
      </c>
      <c r="AD29" s="565">
        <f t="shared" si="26"/>
        <v>0</v>
      </c>
      <c r="AE29" s="565">
        <f t="shared" si="27"/>
        <v>0</v>
      </c>
    </row>
    <row r="30" spans="2:31" ht="13.5" thickBot="1" x14ac:dyDescent="0.25">
      <c r="B30" s="569">
        <v>2015</v>
      </c>
      <c r="C30" s="570">
        <v>96771.806566877567</v>
      </c>
      <c r="D30" s="572">
        <f t="shared" si="8"/>
        <v>1000000</v>
      </c>
      <c r="E30" s="572">
        <f t="shared" si="9"/>
        <v>1000000</v>
      </c>
      <c r="F30" s="572">
        <f t="shared" si="10"/>
        <v>1000000</v>
      </c>
      <c r="G30" s="572">
        <f t="shared" si="11"/>
        <v>1000000</v>
      </c>
      <c r="H30" s="572">
        <f t="shared" si="12"/>
        <v>1000000</v>
      </c>
      <c r="I30" s="573">
        <v>0</v>
      </c>
      <c r="J30" s="573">
        <v>0</v>
      </c>
      <c r="K30" s="573">
        <v>0</v>
      </c>
      <c r="L30" s="573">
        <v>0</v>
      </c>
      <c r="M30" s="573">
        <v>0</v>
      </c>
      <c r="N30" s="581">
        <v>6.1572807220146535</v>
      </c>
      <c r="O30" s="574">
        <f t="shared" si="13"/>
        <v>1</v>
      </c>
      <c r="P30" s="574">
        <f t="shared" si="14"/>
        <v>1</v>
      </c>
      <c r="Q30" s="581">
        <f t="shared" si="15"/>
        <v>1</v>
      </c>
      <c r="R30" s="581">
        <f t="shared" si="16"/>
        <v>1</v>
      </c>
      <c r="S30" s="581">
        <f t="shared" si="17"/>
        <v>1</v>
      </c>
      <c r="T30" s="571">
        <v>1</v>
      </c>
      <c r="U30" s="571">
        <f t="shared" si="18"/>
        <v>1</v>
      </c>
      <c r="V30" s="571">
        <f t="shared" si="19"/>
        <v>1</v>
      </c>
      <c r="W30" s="571">
        <f t="shared" si="20"/>
        <v>1</v>
      </c>
      <c r="X30" s="571">
        <f t="shared" si="21"/>
        <v>1</v>
      </c>
      <c r="Y30" s="571">
        <f t="shared" si="22"/>
        <v>1</v>
      </c>
      <c r="Z30" s="571">
        <v>0</v>
      </c>
      <c r="AA30" s="571">
        <f t="shared" si="23"/>
        <v>0</v>
      </c>
      <c r="AB30" s="571">
        <f t="shared" si="24"/>
        <v>0</v>
      </c>
      <c r="AC30" s="571">
        <f t="shared" si="25"/>
        <v>0</v>
      </c>
      <c r="AD30" s="571">
        <f t="shared" si="26"/>
        <v>0</v>
      </c>
      <c r="AE30" s="571">
        <f t="shared" si="27"/>
        <v>0</v>
      </c>
    </row>
    <row r="31" spans="2:31" x14ac:dyDescent="0.2">
      <c r="B31" s="575">
        <v>2016</v>
      </c>
      <c r="C31" s="576">
        <v>96771.806566877567</v>
      </c>
      <c r="D31" s="578">
        <f t="shared" si="8"/>
        <v>1000000</v>
      </c>
      <c r="E31" s="578">
        <f t="shared" si="9"/>
        <v>1000000</v>
      </c>
      <c r="F31" s="578">
        <f t="shared" si="10"/>
        <v>1000000</v>
      </c>
      <c r="G31" s="578">
        <f t="shared" si="11"/>
        <v>1000000</v>
      </c>
      <c r="H31" s="578">
        <f t="shared" si="12"/>
        <v>1000000</v>
      </c>
      <c r="I31" s="579">
        <v>0</v>
      </c>
      <c r="J31" s="579">
        <v>0</v>
      </c>
      <c r="K31" s="579">
        <v>0</v>
      </c>
      <c r="L31" s="579">
        <v>0</v>
      </c>
      <c r="M31" s="579">
        <v>0</v>
      </c>
      <c r="N31" s="582">
        <v>6.2411515067977446</v>
      </c>
      <c r="O31" s="568">
        <f t="shared" si="13"/>
        <v>1</v>
      </c>
      <c r="P31" s="568">
        <f t="shared" si="14"/>
        <v>1</v>
      </c>
      <c r="Q31" s="582">
        <f t="shared" si="15"/>
        <v>1</v>
      </c>
      <c r="R31" s="582">
        <f t="shared" si="16"/>
        <v>1</v>
      </c>
      <c r="S31" s="582">
        <f t="shared" si="17"/>
        <v>1</v>
      </c>
      <c r="T31" s="577">
        <v>1</v>
      </c>
      <c r="U31" s="577">
        <f t="shared" si="18"/>
        <v>1</v>
      </c>
      <c r="V31" s="577">
        <f t="shared" si="19"/>
        <v>1</v>
      </c>
      <c r="W31" s="577">
        <f t="shared" si="20"/>
        <v>1</v>
      </c>
      <c r="X31" s="577">
        <f t="shared" si="21"/>
        <v>1</v>
      </c>
      <c r="Y31" s="577">
        <f t="shared" si="22"/>
        <v>1</v>
      </c>
      <c r="Z31" s="577">
        <v>0</v>
      </c>
      <c r="AA31" s="577">
        <f t="shared" si="23"/>
        <v>0</v>
      </c>
      <c r="AB31" s="577">
        <f t="shared" si="24"/>
        <v>0</v>
      </c>
      <c r="AC31" s="577">
        <f t="shared" si="25"/>
        <v>0</v>
      </c>
      <c r="AD31" s="577">
        <f t="shared" si="26"/>
        <v>0</v>
      </c>
      <c r="AE31" s="577">
        <f t="shared" si="27"/>
        <v>0</v>
      </c>
    </row>
    <row r="32" spans="2:31" x14ac:dyDescent="0.2">
      <c r="B32" s="563">
        <v>2017</v>
      </c>
      <c r="C32" s="564">
        <v>96771.806566877567</v>
      </c>
      <c r="D32" s="566">
        <f t="shared" si="8"/>
        <v>1000000</v>
      </c>
      <c r="E32" s="566">
        <f t="shared" si="9"/>
        <v>1000000</v>
      </c>
      <c r="F32" s="566">
        <f t="shared" si="10"/>
        <v>1000000</v>
      </c>
      <c r="G32" s="566">
        <f t="shared" si="11"/>
        <v>1000000</v>
      </c>
      <c r="H32" s="566">
        <f t="shared" si="12"/>
        <v>1000000</v>
      </c>
      <c r="I32" s="567">
        <v>0</v>
      </c>
      <c r="J32" s="567">
        <v>0</v>
      </c>
      <c r="K32" s="567">
        <v>0</v>
      </c>
      <c r="L32" s="567">
        <v>0</v>
      </c>
      <c r="M32" s="567">
        <v>0</v>
      </c>
      <c r="N32" s="583">
        <v>6.3326212196714469</v>
      </c>
      <c r="O32" s="568">
        <f t="shared" si="13"/>
        <v>1</v>
      </c>
      <c r="P32" s="568">
        <f t="shared" si="14"/>
        <v>1</v>
      </c>
      <c r="Q32" s="582">
        <f t="shared" si="15"/>
        <v>1</v>
      </c>
      <c r="R32" s="582">
        <f t="shared" si="16"/>
        <v>1</v>
      </c>
      <c r="S32" s="582">
        <f t="shared" si="17"/>
        <v>1</v>
      </c>
      <c r="T32" s="565">
        <v>1</v>
      </c>
      <c r="U32" s="565">
        <f t="shared" si="18"/>
        <v>1</v>
      </c>
      <c r="V32" s="565">
        <f t="shared" si="19"/>
        <v>1</v>
      </c>
      <c r="W32" s="565">
        <f t="shared" si="20"/>
        <v>1</v>
      </c>
      <c r="X32" s="565">
        <f t="shared" si="21"/>
        <v>1</v>
      </c>
      <c r="Y32" s="565">
        <f t="shared" si="22"/>
        <v>1</v>
      </c>
      <c r="Z32" s="565">
        <v>0</v>
      </c>
      <c r="AA32" s="565">
        <f t="shared" si="23"/>
        <v>0</v>
      </c>
      <c r="AB32" s="565">
        <f t="shared" si="24"/>
        <v>0</v>
      </c>
      <c r="AC32" s="565">
        <f t="shared" si="25"/>
        <v>0</v>
      </c>
      <c r="AD32" s="565">
        <f t="shared" si="26"/>
        <v>0</v>
      </c>
      <c r="AE32" s="565">
        <f t="shared" si="27"/>
        <v>0</v>
      </c>
    </row>
    <row r="33" spans="2:31" x14ac:dyDescent="0.2">
      <c r="B33" s="563">
        <v>2018</v>
      </c>
      <c r="C33" s="564">
        <v>96771.806566877567</v>
      </c>
      <c r="D33" s="566">
        <f t="shared" si="8"/>
        <v>1000000</v>
      </c>
      <c r="E33" s="566">
        <f t="shared" si="9"/>
        <v>1000000</v>
      </c>
      <c r="F33" s="566">
        <f t="shared" si="10"/>
        <v>1000000</v>
      </c>
      <c r="G33" s="566">
        <f t="shared" si="11"/>
        <v>1000000</v>
      </c>
      <c r="H33" s="566">
        <f t="shared" si="12"/>
        <v>1000000</v>
      </c>
      <c r="I33" s="567">
        <v>0</v>
      </c>
      <c r="J33" s="567">
        <v>0</v>
      </c>
      <c r="K33" s="567">
        <v>0</v>
      </c>
      <c r="L33" s="567">
        <v>0</v>
      </c>
      <c r="M33" s="567">
        <v>0</v>
      </c>
      <c r="N33" s="583">
        <v>6.5174170137174441</v>
      </c>
      <c r="O33" s="568">
        <f t="shared" si="13"/>
        <v>1</v>
      </c>
      <c r="P33" s="568">
        <f t="shared" si="14"/>
        <v>1</v>
      </c>
      <c r="Q33" s="582">
        <f t="shared" si="15"/>
        <v>1</v>
      </c>
      <c r="R33" s="582">
        <f t="shared" si="16"/>
        <v>1</v>
      </c>
      <c r="S33" s="582">
        <f t="shared" si="17"/>
        <v>1</v>
      </c>
      <c r="T33" s="565">
        <v>1</v>
      </c>
      <c r="U33" s="565">
        <f t="shared" si="18"/>
        <v>1</v>
      </c>
      <c r="V33" s="565">
        <f t="shared" si="19"/>
        <v>1</v>
      </c>
      <c r="W33" s="565">
        <f t="shared" si="20"/>
        <v>1</v>
      </c>
      <c r="X33" s="565">
        <f t="shared" si="21"/>
        <v>1</v>
      </c>
      <c r="Y33" s="565">
        <f t="shared" si="22"/>
        <v>1</v>
      </c>
      <c r="Z33" s="565">
        <v>0</v>
      </c>
      <c r="AA33" s="565">
        <f t="shared" si="23"/>
        <v>0</v>
      </c>
      <c r="AB33" s="565">
        <f t="shared" si="24"/>
        <v>0</v>
      </c>
      <c r="AC33" s="565">
        <f t="shared" si="25"/>
        <v>0</v>
      </c>
      <c r="AD33" s="565">
        <f t="shared" si="26"/>
        <v>0</v>
      </c>
      <c r="AE33" s="565">
        <f t="shared" si="27"/>
        <v>0</v>
      </c>
    </row>
    <row r="34" spans="2:31" x14ac:dyDescent="0.2">
      <c r="B34" s="563">
        <v>2019</v>
      </c>
      <c r="C34" s="564">
        <v>96771.806566877567</v>
      </c>
      <c r="D34" s="566">
        <v>1000000</v>
      </c>
      <c r="E34" s="566">
        <v>1000000</v>
      </c>
      <c r="F34" s="566">
        <v>1000000</v>
      </c>
      <c r="G34" s="566">
        <v>1000000</v>
      </c>
      <c r="H34" s="566">
        <v>1000000</v>
      </c>
      <c r="I34" s="567">
        <v>0</v>
      </c>
      <c r="J34" s="567">
        <v>0</v>
      </c>
      <c r="K34" s="567">
        <v>0</v>
      </c>
      <c r="L34" s="567">
        <v>0</v>
      </c>
      <c r="M34" s="567">
        <v>0</v>
      </c>
      <c r="N34" s="583">
        <v>6.5508036243073944</v>
      </c>
      <c r="O34" s="568">
        <v>1</v>
      </c>
      <c r="P34" s="568">
        <v>1</v>
      </c>
      <c r="Q34" s="582">
        <v>1</v>
      </c>
      <c r="R34" s="582">
        <v>1</v>
      </c>
      <c r="S34" s="582">
        <v>1</v>
      </c>
      <c r="T34" s="565">
        <v>1</v>
      </c>
      <c r="U34" s="565">
        <v>1</v>
      </c>
      <c r="V34" s="565">
        <v>1</v>
      </c>
      <c r="W34" s="565">
        <v>1</v>
      </c>
      <c r="X34" s="565">
        <v>1</v>
      </c>
      <c r="Y34" s="565">
        <f t="shared" si="22"/>
        <v>1</v>
      </c>
      <c r="Z34" s="565">
        <v>0</v>
      </c>
      <c r="AA34" s="565">
        <v>0</v>
      </c>
      <c r="AB34" s="565">
        <v>0</v>
      </c>
      <c r="AC34" s="565">
        <v>0</v>
      </c>
      <c r="AD34" s="565">
        <v>0</v>
      </c>
      <c r="AE34" s="565">
        <v>0</v>
      </c>
    </row>
    <row r="35" spans="2:31" ht="13.5" thickBot="1" x14ac:dyDescent="0.25">
      <c r="B35" s="569">
        <v>2020</v>
      </c>
      <c r="C35" s="570">
        <v>96771.806566877567</v>
      </c>
      <c r="D35" s="572">
        <v>1000000</v>
      </c>
      <c r="E35" s="572">
        <v>1000000</v>
      </c>
      <c r="F35" s="572">
        <v>1000000</v>
      </c>
      <c r="G35" s="572">
        <v>1000000</v>
      </c>
      <c r="H35" s="572">
        <v>1000000</v>
      </c>
      <c r="I35" s="573">
        <v>0</v>
      </c>
      <c r="J35" s="573">
        <v>0</v>
      </c>
      <c r="K35" s="573">
        <v>0</v>
      </c>
      <c r="L35" s="573">
        <v>0</v>
      </c>
      <c r="M35" s="573">
        <v>0</v>
      </c>
      <c r="N35" s="581">
        <v>6.5975340734693528</v>
      </c>
      <c r="O35" s="574">
        <v>1</v>
      </c>
      <c r="P35" s="574">
        <v>1</v>
      </c>
      <c r="Q35" s="581">
        <v>1</v>
      </c>
      <c r="R35" s="581">
        <v>1</v>
      </c>
      <c r="S35" s="581">
        <v>1</v>
      </c>
      <c r="T35" s="571">
        <v>1</v>
      </c>
      <c r="U35" s="571">
        <v>1</v>
      </c>
      <c r="V35" s="571">
        <v>1</v>
      </c>
      <c r="W35" s="571">
        <v>1</v>
      </c>
      <c r="X35" s="571">
        <v>1</v>
      </c>
      <c r="Y35" s="571">
        <v>1</v>
      </c>
      <c r="Z35" s="571">
        <v>0</v>
      </c>
      <c r="AA35" s="571">
        <v>0</v>
      </c>
      <c r="AB35" s="571">
        <v>0</v>
      </c>
      <c r="AC35" s="571">
        <v>0</v>
      </c>
      <c r="AD35" s="571">
        <v>0</v>
      </c>
      <c r="AE35" s="571">
        <v>0</v>
      </c>
    </row>
    <row r="36" spans="2:31" x14ac:dyDescent="0.2">
      <c r="B36" s="575">
        <v>2021</v>
      </c>
      <c r="C36" s="576">
        <v>97040.03007304229</v>
      </c>
      <c r="D36" s="578">
        <v>840.46527088408766</v>
      </c>
      <c r="E36" s="578">
        <v>1666.4794172293186</v>
      </c>
      <c r="F36" s="578">
        <v>13109.729877727412</v>
      </c>
      <c r="G36" s="578">
        <v>144164.79851970976</v>
      </c>
      <c r="H36" s="578">
        <v>254951.09746535946</v>
      </c>
      <c r="I36" s="579">
        <v>0</v>
      </c>
      <c r="J36" s="579">
        <v>0</v>
      </c>
      <c r="K36" s="579">
        <v>0</v>
      </c>
      <c r="L36" s="579">
        <v>0</v>
      </c>
      <c r="M36" s="579">
        <v>0</v>
      </c>
      <c r="N36" s="582">
        <v>6.8286373326560339</v>
      </c>
      <c r="O36" s="580">
        <v>6.9677403863325713</v>
      </c>
      <c r="P36" s="580">
        <v>7.3437271718654449</v>
      </c>
      <c r="Q36" s="582">
        <v>7.9292309570911694</v>
      </c>
      <c r="R36" s="582">
        <v>7.0504314314948404</v>
      </c>
      <c r="S36" s="582">
        <v>18.581967781609237</v>
      </c>
      <c r="T36" s="577">
        <v>1</v>
      </c>
      <c r="U36" s="577">
        <v>1</v>
      </c>
      <c r="V36" s="577">
        <v>1</v>
      </c>
      <c r="W36" s="577">
        <v>1</v>
      </c>
      <c r="X36" s="577">
        <v>19.581124401185328</v>
      </c>
      <c r="Y36" s="577">
        <v>1</v>
      </c>
      <c r="Z36" s="577">
        <v>0</v>
      </c>
      <c r="AA36" s="577">
        <v>0</v>
      </c>
      <c r="AB36" s="577">
        <v>0</v>
      </c>
      <c r="AC36" s="577">
        <v>0</v>
      </c>
      <c r="AD36" s="577">
        <v>153.2027870307013</v>
      </c>
      <c r="AE36" s="577">
        <v>292.4829655213137</v>
      </c>
    </row>
    <row r="37" spans="2:31" x14ac:dyDescent="0.2">
      <c r="B37" s="563">
        <v>2022</v>
      </c>
      <c r="C37" s="564">
        <v>97308.253579207012</v>
      </c>
      <c r="D37" s="566">
        <v>1680.9305417681753</v>
      </c>
      <c r="E37" s="566">
        <v>2360.5513691763335</v>
      </c>
      <c r="F37" s="566">
        <v>12471.3290793755</v>
      </c>
      <c r="G37" s="566">
        <v>122356.24341838573</v>
      </c>
      <c r="H37" s="566">
        <v>215138.05970907584</v>
      </c>
      <c r="I37" s="567">
        <v>0</v>
      </c>
      <c r="J37" s="567">
        <v>0</v>
      </c>
      <c r="K37" s="567">
        <v>0</v>
      </c>
      <c r="L37" s="567">
        <v>0</v>
      </c>
      <c r="M37" s="567">
        <v>0</v>
      </c>
      <c r="N37" s="583">
        <v>6.9737095451421931</v>
      </c>
      <c r="O37" s="568">
        <v>7.2544666022328474</v>
      </c>
      <c r="P37" s="568">
        <v>7.6518896391498439</v>
      </c>
      <c r="Q37" s="583">
        <v>8.2538383274407092</v>
      </c>
      <c r="R37" s="583">
        <v>7.4488102642537042</v>
      </c>
      <c r="S37" s="583">
        <v>19.327587482878435</v>
      </c>
      <c r="T37" s="565">
        <v>1</v>
      </c>
      <c r="U37" s="565">
        <v>1</v>
      </c>
      <c r="V37" s="565">
        <v>1</v>
      </c>
      <c r="W37" s="565">
        <v>1</v>
      </c>
      <c r="X37" s="565">
        <v>20.329786007400529</v>
      </c>
      <c r="Y37" s="565">
        <v>1</v>
      </c>
      <c r="Z37" s="565">
        <v>0</v>
      </c>
      <c r="AA37" s="565">
        <v>0</v>
      </c>
      <c r="AB37" s="565">
        <v>0</v>
      </c>
      <c r="AC37" s="565">
        <v>0</v>
      </c>
      <c r="AD37" s="565">
        <v>152.74080023675674</v>
      </c>
      <c r="AE37" s="565">
        <v>292.4526104465981</v>
      </c>
    </row>
    <row r="38" spans="2:31" x14ac:dyDescent="0.2">
      <c r="B38" s="563">
        <v>2023</v>
      </c>
      <c r="C38" s="564">
        <v>97576.477085371735</v>
      </c>
      <c r="D38" s="566">
        <v>2521.395812652263</v>
      </c>
      <c r="E38" s="566">
        <v>3054.6233211233484</v>
      </c>
      <c r="F38" s="566">
        <v>11832.928281023589</v>
      </c>
      <c r="G38" s="566">
        <v>100547.68831706169</v>
      </c>
      <c r="H38" s="566">
        <v>175325.02195279219</v>
      </c>
      <c r="I38" s="567">
        <v>0</v>
      </c>
      <c r="J38" s="567">
        <v>0</v>
      </c>
      <c r="K38" s="567">
        <v>0</v>
      </c>
      <c r="L38" s="567">
        <v>0</v>
      </c>
      <c r="M38" s="567">
        <v>0</v>
      </c>
      <c r="N38" s="583">
        <v>7.1145988854730335</v>
      </c>
      <c r="O38" s="568">
        <v>7.5392218166373448</v>
      </c>
      <c r="P38" s="568">
        <v>7.9580735243624057</v>
      </c>
      <c r="Q38" s="583">
        <v>8.5761748131235418</v>
      </c>
      <c r="R38" s="583">
        <v>7.8469874978253111</v>
      </c>
      <c r="S38" s="583">
        <v>20.067635502293289</v>
      </c>
      <c r="T38" s="565">
        <v>1</v>
      </c>
      <c r="U38" s="565">
        <v>1</v>
      </c>
      <c r="V38" s="565">
        <v>1</v>
      </c>
      <c r="W38" s="565">
        <v>1</v>
      </c>
      <c r="X38" s="565">
        <v>21.071962728935954</v>
      </c>
      <c r="Y38" s="565">
        <v>1</v>
      </c>
      <c r="Z38" s="565">
        <v>0</v>
      </c>
      <c r="AA38" s="565">
        <v>0</v>
      </c>
      <c r="AB38" s="565">
        <v>0</v>
      </c>
      <c r="AC38" s="565">
        <v>0</v>
      </c>
      <c r="AD38" s="565">
        <v>152.27881344281218</v>
      </c>
      <c r="AE38" s="565">
        <v>292.4222553718825</v>
      </c>
    </row>
    <row r="39" spans="2:31" x14ac:dyDescent="0.2">
      <c r="B39" s="563">
        <v>2024</v>
      </c>
      <c r="C39" s="564">
        <v>97844.700591536457</v>
      </c>
      <c r="D39" s="566">
        <v>3361.8610835363506</v>
      </c>
      <c r="E39" s="566">
        <v>3748.6952730703633</v>
      </c>
      <c r="F39" s="566">
        <v>11194.527482671678</v>
      </c>
      <c r="G39" s="566">
        <v>78739.13321573766</v>
      </c>
      <c r="H39" s="566">
        <v>135511.98419650859</v>
      </c>
      <c r="I39" s="567">
        <v>0</v>
      </c>
      <c r="J39" s="567">
        <v>0</v>
      </c>
      <c r="K39" s="567">
        <v>0</v>
      </c>
      <c r="L39" s="567">
        <v>0</v>
      </c>
      <c r="M39" s="567">
        <v>0</v>
      </c>
      <c r="N39" s="583">
        <v>7.2611988927393014</v>
      </c>
      <c r="O39" s="568">
        <v>7.8323543679898586</v>
      </c>
      <c r="P39" s="568">
        <v>8.2731964640089828</v>
      </c>
      <c r="Q39" s="583">
        <v>8.9080136615066419</v>
      </c>
      <c r="R39" s="583">
        <v>8.2556319447034667</v>
      </c>
      <c r="S39" s="583">
        <v>20.829674616056927</v>
      </c>
      <c r="T39" s="565">
        <v>1</v>
      </c>
      <c r="U39" s="565">
        <v>1</v>
      </c>
      <c r="V39" s="565">
        <v>1</v>
      </c>
      <c r="W39" s="565">
        <v>1</v>
      </c>
      <c r="X39" s="565">
        <v>21.836631745371104</v>
      </c>
      <c r="Y39" s="565">
        <v>1</v>
      </c>
      <c r="Z39" s="565">
        <v>0</v>
      </c>
      <c r="AA39" s="565">
        <v>0</v>
      </c>
      <c r="AB39" s="565">
        <v>0</v>
      </c>
      <c r="AC39" s="565">
        <v>0</v>
      </c>
      <c r="AD39" s="565">
        <v>151.81682664886762</v>
      </c>
      <c r="AE39" s="565">
        <v>292.3919002971669</v>
      </c>
    </row>
    <row r="40" spans="2:31" ht="13.5" thickBot="1" x14ac:dyDescent="0.25">
      <c r="B40" s="569">
        <v>2025</v>
      </c>
      <c r="C40" s="570">
        <v>98112.924097701165</v>
      </c>
      <c r="D40" s="572">
        <v>4202.3263544204674</v>
      </c>
      <c r="E40" s="572">
        <v>4442.7672250173928</v>
      </c>
      <c r="F40" s="572">
        <v>10556.126684319781</v>
      </c>
      <c r="G40" s="572">
        <v>56930.578114413584</v>
      </c>
      <c r="H40" s="572">
        <v>95698.946440225016</v>
      </c>
      <c r="I40" s="573">
        <v>0</v>
      </c>
      <c r="J40" s="573">
        <v>0</v>
      </c>
      <c r="K40" s="573">
        <v>0</v>
      </c>
      <c r="L40" s="573">
        <v>0</v>
      </c>
      <c r="M40" s="573">
        <v>0</v>
      </c>
      <c r="N40" s="581">
        <v>7.4034607001476846</v>
      </c>
      <c r="O40" s="574">
        <v>8.1230803296635674</v>
      </c>
      <c r="P40" s="574">
        <v>8.5858698131549591</v>
      </c>
      <c r="Q40" s="581">
        <v>9.2370892951987713</v>
      </c>
      <c r="R40" s="581">
        <v>8.6634177702141368</v>
      </c>
      <c r="S40" s="581">
        <v>21.585018431463165</v>
      </c>
      <c r="T40" s="571">
        <v>1</v>
      </c>
      <c r="U40" s="571">
        <v>1</v>
      </c>
      <c r="V40" s="571">
        <v>1</v>
      </c>
      <c r="W40" s="571">
        <v>1</v>
      </c>
      <c r="X40" s="571">
        <v>22.593705863511683</v>
      </c>
      <c r="Y40" s="571">
        <v>1</v>
      </c>
      <c r="Z40" s="571">
        <v>0</v>
      </c>
      <c r="AA40" s="571">
        <v>0</v>
      </c>
      <c r="AB40" s="571">
        <v>0</v>
      </c>
      <c r="AC40" s="571">
        <v>0</v>
      </c>
      <c r="AD40" s="571">
        <v>151.35483985492303</v>
      </c>
      <c r="AE40" s="571">
        <v>292.36154522245141</v>
      </c>
    </row>
    <row r="41" spans="2:31" x14ac:dyDescent="0.2">
      <c r="B41" s="575">
        <v>2026</v>
      </c>
      <c r="C41" s="576">
        <v>98535.258281973045</v>
      </c>
      <c r="D41" s="578">
        <v>4373.8152336049534</v>
      </c>
      <c r="E41" s="578">
        <v>4579.0086429013609</v>
      </c>
      <c r="F41" s="578">
        <v>10405.351335317668</v>
      </c>
      <c r="G41" s="578">
        <v>52011.723754359904</v>
      </c>
      <c r="H41" s="578">
        <v>86083.468857967993</v>
      </c>
      <c r="I41" s="579">
        <v>0</v>
      </c>
      <c r="J41" s="579">
        <v>0</v>
      </c>
      <c r="K41" s="579">
        <v>0</v>
      </c>
      <c r="L41" s="579">
        <v>0</v>
      </c>
      <c r="M41" s="579">
        <v>0</v>
      </c>
      <c r="N41" s="582">
        <v>7.5834844603463765</v>
      </c>
      <c r="O41" s="580">
        <v>8.4580394234536715</v>
      </c>
      <c r="P41" s="580">
        <v>8.9454083517288723</v>
      </c>
      <c r="Q41" s="582">
        <v>9.6164326093485641</v>
      </c>
      <c r="R41" s="582">
        <v>9.1204118553382472</v>
      </c>
      <c r="S41" s="582">
        <v>22.457543025098392</v>
      </c>
      <c r="T41" s="577">
        <v>1</v>
      </c>
      <c r="U41" s="577">
        <v>1</v>
      </c>
      <c r="V41" s="577">
        <v>1</v>
      </c>
      <c r="W41" s="577">
        <v>1</v>
      </c>
      <c r="X41" s="577">
        <v>23.472738451023137</v>
      </c>
      <c r="Y41" s="577">
        <v>1</v>
      </c>
      <c r="Z41" s="577">
        <v>0</v>
      </c>
      <c r="AA41" s="577">
        <v>0</v>
      </c>
      <c r="AB41" s="577">
        <v>0</v>
      </c>
      <c r="AC41" s="577">
        <v>0</v>
      </c>
      <c r="AD41" s="577">
        <v>152.00858941626836</v>
      </c>
      <c r="AE41" s="577">
        <v>294.4439753397204</v>
      </c>
    </row>
    <row r="42" spans="2:31" x14ac:dyDescent="0.2">
      <c r="B42" s="563">
        <v>2027</v>
      </c>
      <c r="C42" s="564">
        <v>98957.592466244925</v>
      </c>
      <c r="D42" s="566">
        <v>4545.3041127894394</v>
      </c>
      <c r="E42" s="566">
        <v>4715.250060785329</v>
      </c>
      <c r="F42" s="566">
        <v>10254.575986315554</v>
      </c>
      <c r="G42" s="566">
        <v>47092.869394306224</v>
      </c>
      <c r="H42" s="566">
        <v>76467.991275710971</v>
      </c>
      <c r="I42" s="567">
        <v>0</v>
      </c>
      <c r="J42" s="567">
        <v>0</v>
      </c>
      <c r="K42" s="567">
        <v>0</v>
      </c>
      <c r="L42" s="567">
        <v>0</v>
      </c>
      <c r="M42" s="567">
        <v>0</v>
      </c>
      <c r="N42" s="583">
        <v>7.7778665274939502</v>
      </c>
      <c r="O42" s="568">
        <v>8.8126507096394544</v>
      </c>
      <c r="P42" s="568">
        <v>9.32587460164868</v>
      </c>
      <c r="Q42" s="583">
        <v>10.018079206921627</v>
      </c>
      <c r="R42" s="583">
        <v>9.6011947858828037</v>
      </c>
      <c r="S42" s="583">
        <v>23.381790702890708</v>
      </c>
      <c r="T42" s="565">
        <v>1</v>
      </c>
      <c r="U42" s="565">
        <v>1</v>
      </c>
      <c r="V42" s="565">
        <v>1</v>
      </c>
      <c r="W42" s="565">
        <v>1</v>
      </c>
      <c r="X42" s="565">
        <v>24.404939274512991</v>
      </c>
      <c r="Y42" s="565">
        <v>1</v>
      </c>
      <c r="Z42" s="565">
        <v>0</v>
      </c>
      <c r="AA42" s="565">
        <v>0</v>
      </c>
      <c r="AB42" s="565">
        <v>0</v>
      </c>
      <c r="AC42" s="565">
        <v>0</v>
      </c>
      <c r="AD42" s="565">
        <v>152.6623389776137</v>
      </c>
      <c r="AE42" s="565">
        <v>296.52640545698938</v>
      </c>
    </row>
    <row r="43" spans="2:31" x14ac:dyDescent="0.2">
      <c r="B43" s="563">
        <v>2028</v>
      </c>
      <c r="C43" s="564">
        <v>99379.926650516805</v>
      </c>
      <c r="D43" s="566">
        <v>4716.7929919739254</v>
      </c>
      <c r="E43" s="566">
        <v>4851.4914786692971</v>
      </c>
      <c r="F43" s="566">
        <v>10103.800637313441</v>
      </c>
      <c r="G43" s="566">
        <v>42174.015034252545</v>
      </c>
      <c r="H43" s="566">
        <v>66852.513693453948</v>
      </c>
      <c r="I43" s="567">
        <v>0</v>
      </c>
      <c r="J43" s="567">
        <v>0</v>
      </c>
      <c r="K43" s="567">
        <v>0</v>
      </c>
      <c r="L43" s="567">
        <v>0</v>
      </c>
      <c r="M43" s="567">
        <v>0</v>
      </c>
      <c r="N43" s="583">
        <v>7.8497723897288623</v>
      </c>
      <c r="O43" s="568">
        <v>9.0301382440354931</v>
      </c>
      <c r="P43" s="568">
        <v>9.5612951778514503</v>
      </c>
      <c r="Q43" s="583">
        <v>10.263827719551157</v>
      </c>
      <c r="R43" s="583">
        <v>9.9337418869726157</v>
      </c>
      <c r="S43" s="583">
        <v>23.942017033520735</v>
      </c>
      <c r="T43" s="565">
        <v>1</v>
      </c>
      <c r="U43" s="565">
        <v>1</v>
      </c>
      <c r="V43" s="565">
        <v>1</v>
      </c>
      <c r="W43" s="565">
        <v>1</v>
      </c>
      <c r="X43" s="565">
        <v>24.956791542274516</v>
      </c>
      <c r="Y43" s="565">
        <v>1</v>
      </c>
      <c r="Z43" s="565">
        <v>0</v>
      </c>
      <c r="AA43" s="565">
        <v>0</v>
      </c>
      <c r="AB43" s="565">
        <v>0</v>
      </c>
      <c r="AC43" s="565">
        <v>0</v>
      </c>
      <c r="AD43" s="565">
        <v>153.31608853895904</v>
      </c>
      <c r="AE43" s="565">
        <v>298.60883557425836</v>
      </c>
    </row>
    <row r="44" spans="2:31" x14ac:dyDescent="0.2">
      <c r="B44" s="563">
        <v>2029</v>
      </c>
      <c r="C44" s="564">
        <v>99802.260834788685</v>
      </c>
      <c r="D44" s="566">
        <v>4888.2818711584114</v>
      </c>
      <c r="E44" s="566">
        <v>4987.7328965532652</v>
      </c>
      <c r="F44" s="566">
        <v>9953.025288311328</v>
      </c>
      <c r="G44" s="566">
        <v>37255.160674198865</v>
      </c>
      <c r="H44" s="566">
        <v>57237.036111196925</v>
      </c>
      <c r="I44" s="567">
        <v>0</v>
      </c>
      <c r="J44" s="567">
        <v>0</v>
      </c>
      <c r="K44" s="567">
        <v>0</v>
      </c>
      <c r="L44" s="567">
        <v>0</v>
      </c>
      <c r="M44" s="567">
        <v>0</v>
      </c>
      <c r="N44" s="583">
        <v>8.0071411369221437</v>
      </c>
      <c r="O44" s="568">
        <v>9.3468821582126083</v>
      </c>
      <c r="P44" s="568">
        <v>9.9018463883889982</v>
      </c>
      <c r="Q44" s="583">
        <v>10.622382776328237</v>
      </c>
      <c r="R44" s="583">
        <v>10.376129945130435</v>
      </c>
      <c r="S44" s="583">
        <v>24.765291578104126</v>
      </c>
      <c r="T44" s="565">
        <v>1</v>
      </c>
      <c r="U44" s="565">
        <v>1</v>
      </c>
      <c r="V44" s="565">
        <v>1</v>
      </c>
      <c r="W44" s="565">
        <v>1</v>
      </c>
      <c r="X44" s="565">
        <v>25.78261661588634</v>
      </c>
      <c r="Y44" s="565">
        <v>1</v>
      </c>
      <c r="Z44" s="565">
        <v>0</v>
      </c>
      <c r="AA44" s="565">
        <v>0</v>
      </c>
      <c r="AB44" s="565">
        <v>0</v>
      </c>
      <c r="AC44" s="565">
        <v>0</v>
      </c>
      <c r="AD44" s="565">
        <v>153.96983810030437</v>
      </c>
      <c r="AE44" s="565">
        <v>300.69126569152735</v>
      </c>
    </row>
    <row r="45" spans="2:31" ht="13.5" thickBot="1" x14ac:dyDescent="0.25">
      <c r="B45" s="569">
        <v>2030</v>
      </c>
      <c r="C45" s="570">
        <v>100224.59501906054</v>
      </c>
      <c r="D45" s="1474">
        <v>5059.7707503429119</v>
      </c>
      <c r="E45" s="1474">
        <v>5123.9743144372333</v>
      </c>
      <c r="F45" s="572">
        <v>9802.2499393092439</v>
      </c>
      <c r="G45" s="572">
        <v>32336.306314145273</v>
      </c>
      <c r="H45" s="572">
        <v>47621.558528939873</v>
      </c>
      <c r="I45" s="573">
        <v>0</v>
      </c>
      <c r="J45" s="573">
        <v>0</v>
      </c>
      <c r="K45" s="573">
        <v>0</v>
      </c>
      <c r="L45" s="573">
        <v>0</v>
      </c>
      <c r="M45" s="573">
        <v>0</v>
      </c>
      <c r="N45" s="581">
        <v>8.1418309302354928</v>
      </c>
      <c r="O45" s="574">
        <v>9.6391212325295701</v>
      </c>
      <c r="P45" s="574">
        <v>10.216511802190341</v>
      </c>
      <c r="Q45" s="581">
        <v>10.953068094460582</v>
      </c>
      <c r="R45" s="581">
        <v>10.792657865825813</v>
      </c>
      <c r="S45" s="581">
        <v>25.523402429727643</v>
      </c>
      <c r="T45" s="571">
        <v>1</v>
      </c>
      <c r="U45" s="571">
        <v>1</v>
      </c>
      <c r="V45" s="571">
        <v>1</v>
      </c>
      <c r="W45" s="571">
        <v>1</v>
      </c>
      <c r="X45" s="571">
        <v>26.540138465805402</v>
      </c>
      <c r="Y45" s="571">
        <v>1</v>
      </c>
      <c r="Z45" s="571">
        <v>0</v>
      </c>
      <c r="AA45" s="571">
        <v>0</v>
      </c>
      <c r="AB45" s="571">
        <v>0</v>
      </c>
      <c r="AC45" s="571">
        <v>0</v>
      </c>
      <c r="AD45" s="571">
        <v>154.62358766164965</v>
      </c>
      <c r="AE45" s="571">
        <v>302.77369580879645</v>
      </c>
    </row>
    <row r="46" spans="2:31" x14ac:dyDescent="0.2">
      <c r="B46" s="575">
        <v>2031</v>
      </c>
      <c r="C46" s="576">
        <v>100224.59501906054</v>
      </c>
      <c r="D46" s="578">
        <v>5059.7707503429119</v>
      </c>
      <c r="E46" s="578">
        <v>5123.9743144372333</v>
      </c>
      <c r="F46" s="578">
        <v>10076.401732986604</v>
      </c>
      <c r="G46" s="578">
        <v>30465.139959469729</v>
      </c>
      <c r="H46" s="578">
        <v>43697.808657362766</v>
      </c>
      <c r="I46" s="579">
        <v>0</v>
      </c>
      <c r="J46" s="579">
        <v>0</v>
      </c>
      <c r="K46" s="579">
        <v>0</v>
      </c>
      <c r="L46" s="579">
        <v>0</v>
      </c>
      <c r="M46" s="579">
        <v>0</v>
      </c>
      <c r="N46" s="582">
        <v>8.1580575988836124</v>
      </c>
      <c r="O46" s="580">
        <f>$N46*O45/$N45</f>
        <v>9.6583320006773654</v>
      </c>
      <c r="P46" s="580">
        <f t="shared" ref="P46:Q65" si="28">$N46*P45/$N45</f>
        <v>10.236873309715401</v>
      </c>
      <c r="Q46" s="582">
        <v>11.085153665361142</v>
      </c>
      <c r="R46" s="582">
        <v>10.994489157215678</v>
      </c>
      <c r="S46" s="582">
        <v>25.778639615966583</v>
      </c>
      <c r="T46" s="577">
        <v>1</v>
      </c>
      <c r="U46" s="577">
        <v>1</v>
      </c>
      <c r="V46" s="577">
        <v>1</v>
      </c>
      <c r="W46" s="577">
        <v>1</v>
      </c>
      <c r="X46" s="577">
        <v>26.811081339490077</v>
      </c>
      <c r="Y46" s="577">
        <v>1</v>
      </c>
      <c r="Z46" s="577">
        <v>0</v>
      </c>
      <c r="AA46" s="577">
        <v>0</v>
      </c>
      <c r="AB46" s="577">
        <v>0</v>
      </c>
      <c r="AC46" s="577">
        <v>0</v>
      </c>
      <c r="AD46" s="577">
        <v>155.26752124817588</v>
      </c>
      <c r="AE46" s="577">
        <v>303.88180125889505</v>
      </c>
    </row>
    <row r="47" spans="2:31" x14ac:dyDescent="0.2">
      <c r="B47" s="563">
        <v>2032</v>
      </c>
      <c r="C47" s="564">
        <v>100224.59501906054</v>
      </c>
      <c r="D47" s="578">
        <v>5059.7707503429119</v>
      </c>
      <c r="E47" s="578">
        <v>5123.9743144372333</v>
      </c>
      <c r="F47" s="578">
        <v>10350.553526663964</v>
      </c>
      <c r="G47" s="578">
        <v>28593.973604794184</v>
      </c>
      <c r="H47" s="578">
        <v>39774.058785785659</v>
      </c>
      <c r="I47" s="567">
        <v>0</v>
      </c>
      <c r="J47" s="584">
        <v>0</v>
      </c>
      <c r="K47" s="567">
        <v>0</v>
      </c>
      <c r="L47" s="584">
        <v>0</v>
      </c>
      <c r="M47" s="567">
        <v>0</v>
      </c>
      <c r="N47" s="582">
        <v>8.174284267531732</v>
      </c>
      <c r="O47" s="568">
        <f t="shared" ref="O47:O65" si="29">$N47*O46/$N46</f>
        <v>9.6775427688251607</v>
      </c>
      <c r="P47" s="568">
        <f t="shared" si="28"/>
        <v>10.257234817240459</v>
      </c>
      <c r="Q47" s="583">
        <v>11.217677842949264</v>
      </c>
      <c r="R47" s="583">
        <v>11.197037780543301</v>
      </c>
      <c r="S47" s="583">
        <v>26.034689796906349</v>
      </c>
      <c r="T47" s="577">
        <v>1</v>
      </c>
      <c r="U47" s="577">
        <v>1</v>
      </c>
      <c r="V47" s="577">
        <v>1</v>
      </c>
      <c r="W47" s="577">
        <v>1</v>
      </c>
      <c r="X47" s="577">
        <v>27.082891625240091</v>
      </c>
      <c r="Y47" s="577">
        <v>1</v>
      </c>
      <c r="Z47" s="577">
        <v>0</v>
      </c>
      <c r="AA47" s="577">
        <v>0</v>
      </c>
      <c r="AB47" s="577">
        <v>0</v>
      </c>
      <c r="AC47" s="577">
        <v>0</v>
      </c>
      <c r="AD47" s="577">
        <v>155.91145483470211</v>
      </c>
      <c r="AE47" s="577">
        <v>304.98990670899366</v>
      </c>
    </row>
    <row r="48" spans="2:31" x14ac:dyDescent="0.2">
      <c r="B48" s="563">
        <v>2033</v>
      </c>
      <c r="C48" s="564">
        <v>100224.59501906054</v>
      </c>
      <c r="D48" s="578">
        <v>5059.7707503429119</v>
      </c>
      <c r="E48" s="578">
        <v>5123.9743144372333</v>
      </c>
      <c r="F48" s="578">
        <v>10624.705320341323</v>
      </c>
      <c r="G48" s="578">
        <v>26722.80725011864</v>
      </c>
      <c r="H48" s="578">
        <v>35850.308914208552</v>
      </c>
      <c r="I48" s="567">
        <v>0</v>
      </c>
      <c r="J48" s="567">
        <v>0</v>
      </c>
      <c r="K48" s="567">
        <v>0</v>
      </c>
      <c r="L48" s="567">
        <v>0</v>
      </c>
      <c r="M48" s="567">
        <v>0</v>
      </c>
      <c r="N48" s="582">
        <v>8.1905109361798498</v>
      </c>
      <c r="O48" s="568">
        <f t="shared" si="29"/>
        <v>9.6967535369729543</v>
      </c>
      <c r="P48" s="568">
        <f t="shared" si="28"/>
        <v>10.277596324765515</v>
      </c>
      <c r="Q48" s="583">
        <v>11.350640627224942</v>
      </c>
      <c r="R48" s="583">
        <v>11.400303735808674</v>
      </c>
      <c r="S48" s="583">
        <v>26.291552972546942</v>
      </c>
      <c r="T48" s="577">
        <v>1</v>
      </c>
      <c r="U48" s="577">
        <v>1</v>
      </c>
      <c r="V48" s="577">
        <v>1</v>
      </c>
      <c r="W48" s="577">
        <v>1</v>
      </c>
      <c r="X48" s="577">
        <v>27.355569323055438</v>
      </c>
      <c r="Y48" s="577">
        <v>1</v>
      </c>
      <c r="Z48" s="577">
        <v>0</v>
      </c>
      <c r="AA48" s="577">
        <v>0</v>
      </c>
      <c r="AB48" s="577">
        <v>0</v>
      </c>
      <c r="AC48" s="577">
        <v>0</v>
      </c>
      <c r="AD48" s="577">
        <v>156.55538842122834</v>
      </c>
      <c r="AE48" s="577">
        <v>306.09801215909226</v>
      </c>
    </row>
    <row r="49" spans="2:31" x14ac:dyDescent="0.2">
      <c r="B49" s="563">
        <v>2034</v>
      </c>
      <c r="C49" s="564">
        <v>100224.59501906054</v>
      </c>
      <c r="D49" s="578">
        <v>5059.7707503429119</v>
      </c>
      <c r="E49" s="578">
        <v>5123.9743144372333</v>
      </c>
      <c r="F49" s="578">
        <v>10898.857114018683</v>
      </c>
      <c r="G49" s="578">
        <v>24851.640895443095</v>
      </c>
      <c r="H49" s="578">
        <v>31926.559042631445</v>
      </c>
      <c r="I49" s="567">
        <v>0</v>
      </c>
      <c r="J49" s="567">
        <v>0</v>
      </c>
      <c r="K49" s="567">
        <v>0</v>
      </c>
      <c r="L49" s="567">
        <v>0</v>
      </c>
      <c r="M49" s="567">
        <v>0</v>
      </c>
      <c r="N49" s="582">
        <v>8.2067376048279677</v>
      </c>
      <c r="O49" s="568">
        <f t="shared" si="29"/>
        <v>9.7159643051207478</v>
      </c>
      <c r="P49" s="568">
        <f t="shared" si="28"/>
        <v>10.297957832290571</v>
      </c>
      <c r="Q49" s="583">
        <v>11.484042018188184</v>
      </c>
      <c r="R49" s="583">
        <v>11.604287023011802</v>
      </c>
      <c r="S49" s="583">
        <v>26.549229142888358</v>
      </c>
      <c r="T49" s="577">
        <v>1</v>
      </c>
      <c r="U49" s="577">
        <v>1</v>
      </c>
      <c r="V49" s="577">
        <v>1</v>
      </c>
      <c r="W49" s="577">
        <v>1</v>
      </c>
      <c r="X49" s="577">
        <v>27.62911443293612</v>
      </c>
      <c r="Y49" s="577">
        <v>1</v>
      </c>
      <c r="Z49" s="577">
        <v>0</v>
      </c>
      <c r="AA49" s="577">
        <v>0</v>
      </c>
      <c r="AB49" s="577">
        <v>0</v>
      </c>
      <c r="AC49" s="577">
        <v>0</v>
      </c>
      <c r="AD49" s="577">
        <v>157.19932200775457</v>
      </c>
      <c r="AE49" s="577">
        <v>307.20611760919087</v>
      </c>
    </row>
    <row r="50" spans="2:31" ht="13.5" thickBot="1" x14ac:dyDescent="0.25">
      <c r="B50" s="585">
        <v>2035</v>
      </c>
      <c r="C50" s="586">
        <v>100224.59501906054</v>
      </c>
      <c r="D50" s="588">
        <v>5059.7707503429119</v>
      </c>
      <c r="E50" s="588">
        <v>5123.9743144372333</v>
      </c>
      <c r="F50" s="588">
        <v>11173.008907696058</v>
      </c>
      <c r="G50" s="588">
        <v>22980.474540767522</v>
      </c>
      <c r="H50" s="588">
        <v>28002.809171054396</v>
      </c>
      <c r="I50" s="589">
        <v>0</v>
      </c>
      <c r="J50" s="589">
        <v>0</v>
      </c>
      <c r="K50" s="589">
        <v>0</v>
      </c>
      <c r="L50" s="589">
        <v>0</v>
      </c>
      <c r="M50" s="589">
        <v>0</v>
      </c>
      <c r="N50" s="1475">
        <v>8.2229642734760873</v>
      </c>
      <c r="O50" s="574">
        <f t="shared" si="29"/>
        <v>9.7351750732685431</v>
      </c>
      <c r="P50" s="574">
        <f t="shared" si="28"/>
        <v>10.318319339815629</v>
      </c>
      <c r="Q50" s="581">
        <v>11.617882015838985</v>
      </c>
      <c r="R50" s="581">
        <v>11.808987642152685</v>
      </c>
      <c r="S50" s="581">
        <v>26.8077183079306</v>
      </c>
      <c r="T50" s="587">
        <v>1</v>
      </c>
      <c r="U50" s="587">
        <v>1</v>
      </c>
      <c r="V50" s="587">
        <v>1</v>
      </c>
      <c r="W50" s="587">
        <v>1</v>
      </c>
      <c r="X50" s="587">
        <v>27.90352695488215</v>
      </c>
      <c r="Y50" s="587">
        <v>1</v>
      </c>
      <c r="Z50" s="587">
        <v>0</v>
      </c>
      <c r="AA50" s="587">
        <v>0</v>
      </c>
      <c r="AB50" s="587">
        <v>0</v>
      </c>
      <c r="AC50" s="587">
        <v>0</v>
      </c>
      <c r="AD50" s="587">
        <v>157.84325559428083</v>
      </c>
      <c r="AE50" s="587">
        <v>308.31422305928947</v>
      </c>
    </row>
    <row r="51" spans="2:31" x14ac:dyDescent="0.2">
      <c r="B51" s="590">
        <v>2036</v>
      </c>
      <c r="C51" s="591">
        <v>100224.59501906054</v>
      </c>
      <c r="D51" s="593">
        <v>5059.7707503429119</v>
      </c>
      <c r="E51" s="593">
        <v>5123.9743144372333</v>
      </c>
      <c r="F51" s="1476">
        <v>11472.423184880303</v>
      </c>
      <c r="G51" s="593">
        <v>22995.141953531071</v>
      </c>
      <c r="H51" s="593">
        <v>27642.703353960344</v>
      </c>
      <c r="I51" s="594">
        <v>0</v>
      </c>
      <c r="J51" s="594">
        <v>0</v>
      </c>
      <c r="K51" s="594">
        <v>0</v>
      </c>
      <c r="L51" s="594">
        <v>0</v>
      </c>
      <c r="M51" s="594">
        <v>0</v>
      </c>
      <c r="N51" s="596">
        <v>8.2229642734760873</v>
      </c>
      <c r="O51" s="595">
        <f t="shared" si="29"/>
        <v>9.7351750732685431</v>
      </c>
      <c r="P51" s="595">
        <f t="shared" si="28"/>
        <v>10.318319339815629</v>
      </c>
      <c r="Q51" s="596">
        <f t="shared" si="28"/>
        <v>11.617882015838985</v>
      </c>
      <c r="R51" s="596">
        <v>11.876974833159327</v>
      </c>
      <c r="S51" s="596">
        <v>26.900826502224831</v>
      </c>
      <c r="T51" s="592">
        <v>1</v>
      </c>
      <c r="U51" s="592">
        <v>1</v>
      </c>
      <c r="V51" s="592">
        <v>1</v>
      </c>
      <c r="W51" s="592">
        <v>1</v>
      </c>
      <c r="X51" s="592">
        <v>28.001776174576662</v>
      </c>
      <c r="Y51" s="592">
        <v>1</v>
      </c>
      <c r="Z51" s="592">
        <v>0</v>
      </c>
      <c r="AA51" s="592">
        <v>0</v>
      </c>
      <c r="AB51" s="592">
        <v>0</v>
      </c>
      <c r="AC51" s="592">
        <v>0</v>
      </c>
      <c r="AD51" s="592">
        <v>158.13927134135037</v>
      </c>
      <c r="AE51" s="592">
        <v>308.91458792033222</v>
      </c>
    </row>
    <row r="52" spans="2:31" x14ac:dyDescent="0.2">
      <c r="B52" s="563">
        <v>2037</v>
      </c>
      <c r="C52" s="564">
        <v>100224.59501906054</v>
      </c>
      <c r="D52" s="566">
        <v>5059.7707503429119</v>
      </c>
      <c r="E52" s="566">
        <v>5123.9743144372333</v>
      </c>
      <c r="F52" s="566">
        <v>11472.423184880303</v>
      </c>
      <c r="G52" s="566">
        <v>23009.809366294619</v>
      </c>
      <c r="H52" s="566">
        <v>27282.597536866291</v>
      </c>
      <c r="I52" s="567">
        <v>0</v>
      </c>
      <c r="J52" s="567">
        <v>0</v>
      </c>
      <c r="K52" s="567">
        <v>0</v>
      </c>
      <c r="L52" s="567">
        <v>0</v>
      </c>
      <c r="M52" s="567">
        <v>0</v>
      </c>
      <c r="N52" s="583">
        <v>8.2229642734760873</v>
      </c>
      <c r="O52" s="568">
        <f t="shared" si="29"/>
        <v>9.7351750732685431</v>
      </c>
      <c r="P52" s="568">
        <f t="shared" si="28"/>
        <v>10.318319339815629</v>
      </c>
      <c r="Q52" s="583">
        <f t="shared" si="28"/>
        <v>11.617882015838985</v>
      </c>
      <c r="R52" s="583">
        <v>11.944962024165971</v>
      </c>
      <c r="S52" s="583">
        <v>26.993934696519059</v>
      </c>
      <c r="T52" s="565">
        <v>1</v>
      </c>
      <c r="U52" s="565">
        <v>1</v>
      </c>
      <c r="V52" s="565">
        <v>1</v>
      </c>
      <c r="W52" s="565">
        <v>1</v>
      </c>
      <c r="X52" s="565">
        <v>28.100025394271171</v>
      </c>
      <c r="Y52" s="565">
        <v>1</v>
      </c>
      <c r="Z52" s="565">
        <v>0</v>
      </c>
      <c r="AA52" s="565">
        <v>0</v>
      </c>
      <c r="AB52" s="565">
        <v>0</v>
      </c>
      <c r="AC52" s="565">
        <v>0</v>
      </c>
      <c r="AD52" s="565">
        <v>158.4352870884199</v>
      </c>
      <c r="AE52" s="565">
        <v>309.51495278137497</v>
      </c>
    </row>
    <row r="53" spans="2:31" x14ac:dyDescent="0.2">
      <c r="B53" s="563">
        <v>2038</v>
      </c>
      <c r="C53" s="564">
        <v>100224.59501906054</v>
      </c>
      <c r="D53" s="566">
        <v>5059.7707503429119</v>
      </c>
      <c r="E53" s="566">
        <v>5123.9743144372333</v>
      </c>
      <c r="F53" s="566">
        <v>11472.423184880303</v>
      </c>
      <c r="G53" s="566">
        <v>23024.476779058168</v>
      </c>
      <c r="H53" s="566">
        <v>26922.491719772239</v>
      </c>
      <c r="I53" s="567">
        <v>0</v>
      </c>
      <c r="J53" s="567">
        <v>0</v>
      </c>
      <c r="K53" s="567">
        <v>0</v>
      </c>
      <c r="L53" s="567">
        <v>0</v>
      </c>
      <c r="M53" s="567">
        <v>0</v>
      </c>
      <c r="N53" s="583">
        <v>8.2229642734760873</v>
      </c>
      <c r="O53" s="568">
        <f t="shared" si="29"/>
        <v>9.7351750732685431</v>
      </c>
      <c r="P53" s="568">
        <f t="shared" si="28"/>
        <v>10.318319339815629</v>
      </c>
      <c r="Q53" s="583">
        <f t="shared" si="28"/>
        <v>11.617882015838985</v>
      </c>
      <c r="R53" s="583">
        <v>12.012949215172613</v>
      </c>
      <c r="S53" s="583">
        <v>27.08704289081329</v>
      </c>
      <c r="T53" s="565">
        <v>1</v>
      </c>
      <c r="U53" s="565">
        <v>1</v>
      </c>
      <c r="V53" s="565">
        <v>1</v>
      </c>
      <c r="W53" s="565">
        <v>1</v>
      </c>
      <c r="X53" s="565">
        <v>28.19827461396568</v>
      </c>
      <c r="Y53" s="565">
        <v>1</v>
      </c>
      <c r="Z53" s="565">
        <v>0</v>
      </c>
      <c r="AA53" s="565">
        <v>0</v>
      </c>
      <c r="AB53" s="565">
        <v>0</v>
      </c>
      <c r="AC53" s="565">
        <v>0</v>
      </c>
      <c r="AD53" s="565">
        <v>158.73130283548943</v>
      </c>
      <c r="AE53" s="565">
        <v>310.11531764241772</v>
      </c>
    </row>
    <row r="54" spans="2:31" x14ac:dyDescent="0.2">
      <c r="B54" s="563">
        <v>2039</v>
      </c>
      <c r="C54" s="564">
        <v>100224.59501906054</v>
      </c>
      <c r="D54" s="566">
        <v>5059.7707503429119</v>
      </c>
      <c r="E54" s="566">
        <v>5123.9743144372333</v>
      </c>
      <c r="F54" s="566">
        <v>11472.423184880303</v>
      </c>
      <c r="G54" s="566">
        <v>23039.144191821717</v>
      </c>
      <c r="H54" s="566">
        <v>26562.385902678187</v>
      </c>
      <c r="I54" s="567">
        <v>0</v>
      </c>
      <c r="J54" s="567">
        <v>0</v>
      </c>
      <c r="K54" s="567">
        <v>0</v>
      </c>
      <c r="L54" s="567">
        <v>0</v>
      </c>
      <c r="M54" s="567">
        <v>0</v>
      </c>
      <c r="N54" s="583">
        <v>8.2229642734760873</v>
      </c>
      <c r="O54" s="568">
        <f t="shared" si="29"/>
        <v>9.7351750732685431</v>
      </c>
      <c r="P54" s="568">
        <f t="shared" si="28"/>
        <v>10.318319339815629</v>
      </c>
      <c r="Q54" s="583">
        <f t="shared" si="28"/>
        <v>11.617882015838985</v>
      </c>
      <c r="R54" s="583">
        <v>12.080936406179257</v>
      </c>
      <c r="S54" s="583">
        <v>27.180151085107518</v>
      </c>
      <c r="T54" s="565">
        <v>1</v>
      </c>
      <c r="U54" s="565">
        <v>1</v>
      </c>
      <c r="V54" s="565">
        <v>1</v>
      </c>
      <c r="W54" s="565">
        <v>1</v>
      </c>
      <c r="X54" s="565">
        <v>28.296523833660192</v>
      </c>
      <c r="Y54" s="565">
        <v>1</v>
      </c>
      <c r="Z54" s="565">
        <v>0</v>
      </c>
      <c r="AA54" s="565">
        <v>0</v>
      </c>
      <c r="AB54" s="565">
        <v>0</v>
      </c>
      <c r="AC54" s="565">
        <v>0</v>
      </c>
      <c r="AD54" s="565">
        <v>159.02731858255896</v>
      </c>
      <c r="AE54" s="565">
        <v>310.71568250346047</v>
      </c>
    </row>
    <row r="55" spans="2:31" ht="13.5" thickBot="1" x14ac:dyDescent="0.25">
      <c r="B55" s="569">
        <v>2040</v>
      </c>
      <c r="C55" s="570">
        <v>100224.59501906054</v>
      </c>
      <c r="D55" s="572">
        <v>5059.7707503429119</v>
      </c>
      <c r="E55" s="572">
        <v>5123.9743144372333</v>
      </c>
      <c r="F55" s="572">
        <v>11472.423184880303</v>
      </c>
      <c r="G55" s="572">
        <v>23053.811604585266</v>
      </c>
      <c r="H55" s="572">
        <v>26202.280085584134</v>
      </c>
      <c r="I55" s="573">
        <v>0</v>
      </c>
      <c r="J55" s="573">
        <v>0</v>
      </c>
      <c r="K55" s="573">
        <v>0</v>
      </c>
      <c r="L55" s="573">
        <v>0</v>
      </c>
      <c r="M55" s="573">
        <v>0</v>
      </c>
      <c r="N55" s="581">
        <v>8.2229642734760873</v>
      </c>
      <c r="O55" s="574">
        <f t="shared" si="29"/>
        <v>9.7351750732685431</v>
      </c>
      <c r="P55" s="574">
        <f t="shared" si="28"/>
        <v>10.318319339815629</v>
      </c>
      <c r="Q55" s="581">
        <f t="shared" si="28"/>
        <v>11.617882015838985</v>
      </c>
      <c r="R55" s="581">
        <v>12.148923597185899</v>
      </c>
      <c r="S55" s="581">
        <v>27.273259279401749</v>
      </c>
      <c r="T55" s="571">
        <v>1</v>
      </c>
      <c r="U55" s="571">
        <v>1</v>
      </c>
      <c r="V55" s="571">
        <v>1</v>
      </c>
      <c r="W55" s="571">
        <v>1</v>
      </c>
      <c r="X55" s="571">
        <v>28.394773053354697</v>
      </c>
      <c r="Y55" s="571">
        <v>1</v>
      </c>
      <c r="Z55" s="571">
        <v>0</v>
      </c>
      <c r="AA55" s="571">
        <v>0</v>
      </c>
      <c r="AB55" s="571">
        <v>0</v>
      </c>
      <c r="AC55" s="571">
        <v>0</v>
      </c>
      <c r="AD55" s="571">
        <v>159.32333432962849</v>
      </c>
      <c r="AE55" s="571">
        <v>311.31604736450322</v>
      </c>
    </row>
    <row r="56" spans="2:31" x14ac:dyDescent="0.2">
      <c r="B56" s="590">
        <v>2041</v>
      </c>
      <c r="C56" s="591">
        <v>100224.59501906054</v>
      </c>
      <c r="D56" s="593">
        <v>5059.7707503429119</v>
      </c>
      <c r="E56" s="593">
        <v>5123.9743144372333</v>
      </c>
      <c r="F56" s="593">
        <v>11472.423184880303</v>
      </c>
      <c r="G56" s="593">
        <v>23068.479017348815</v>
      </c>
      <c r="H56" s="593">
        <v>25842.174268490082</v>
      </c>
      <c r="I56" s="594">
        <v>0</v>
      </c>
      <c r="J56" s="594">
        <v>0</v>
      </c>
      <c r="K56" s="594">
        <v>0</v>
      </c>
      <c r="L56" s="594">
        <v>0</v>
      </c>
      <c r="M56" s="594">
        <v>0</v>
      </c>
      <c r="N56" s="596">
        <v>8.2229642734760873</v>
      </c>
      <c r="O56" s="580">
        <f t="shared" si="29"/>
        <v>9.7351750732685431</v>
      </c>
      <c r="P56" s="580">
        <f t="shared" si="28"/>
        <v>10.318319339815629</v>
      </c>
      <c r="Q56" s="580">
        <f t="shared" si="28"/>
        <v>11.617882015838985</v>
      </c>
      <c r="R56" s="580">
        <v>12.216910788192545</v>
      </c>
      <c r="S56" s="580">
        <v>27.366367473695977</v>
      </c>
      <c r="T56" s="592">
        <v>1</v>
      </c>
      <c r="U56" s="592">
        <v>1</v>
      </c>
      <c r="V56" s="592">
        <v>1</v>
      </c>
      <c r="W56" s="592">
        <v>1</v>
      </c>
      <c r="X56" s="592">
        <v>28.49302227304921</v>
      </c>
      <c r="Y56" s="592">
        <v>1</v>
      </c>
      <c r="Z56" s="592">
        <v>0</v>
      </c>
      <c r="AA56" s="592">
        <v>0</v>
      </c>
      <c r="AB56" s="592">
        <v>0</v>
      </c>
      <c r="AC56" s="592">
        <v>0</v>
      </c>
      <c r="AD56" s="592">
        <v>159.61935007669803</v>
      </c>
      <c r="AE56" s="592">
        <v>311.91641222554597</v>
      </c>
    </row>
    <row r="57" spans="2:31" x14ac:dyDescent="0.2">
      <c r="B57" s="563">
        <v>2042</v>
      </c>
      <c r="C57" s="564">
        <v>100224.59501906054</v>
      </c>
      <c r="D57" s="566">
        <v>5059.7707503429119</v>
      </c>
      <c r="E57" s="566">
        <v>5123.9743144372333</v>
      </c>
      <c r="F57" s="566">
        <v>11472.423184880303</v>
      </c>
      <c r="G57" s="566">
        <v>23083.146430112363</v>
      </c>
      <c r="H57" s="566">
        <v>25482.06845139603</v>
      </c>
      <c r="I57" s="567">
        <v>0</v>
      </c>
      <c r="J57" s="567">
        <v>0</v>
      </c>
      <c r="K57" s="567">
        <v>0</v>
      </c>
      <c r="L57" s="567">
        <v>0</v>
      </c>
      <c r="M57" s="567">
        <v>0</v>
      </c>
      <c r="N57" s="583">
        <v>8.2229642734760873</v>
      </c>
      <c r="O57" s="568">
        <f t="shared" si="29"/>
        <v>9.7351750732685431</v>
      </c>
      <c r="P57" s="568">
        <f t="shared" si="28"/>
        <v>10.318319339815629</v>
      </c>
      <c r="Q57" s="568">
        <f t="shared" si="28"/>
        <v>11.617882015838985</v>
      </c>
      <c r="R57" s="568">
        <v>12.284897979199187</v>
      </c>
      <c r="S57" s="568">
        <v>27.459475667990208</v>
      </c>
      <c r="T57" s="565">
        <v>1</v>
      </c>
      <c r="U57" s="565">
        <v>1</v>
      </c>
      <c r="V57" s="565">
        <v>1</v>
      </c>
      <c r="W57" s="565">
        <v>1</v>
      </c>
      <c r="X57" s="565">
        <v>28.591271492743722</v>
      </c>
      <c r="Y57" s="565">
        <v>1</v>
      </c>
      <c r="Z57" s="565">
        <v>0</v>
      </c>
      <c r="AA57" s="565">
        <v>0</v>
      </c>
      <c r="AB57" s="565">
        <v>0</v>
      </c>
      <c r="AC57" s="565">
        <v>0</v>
      </c>
      <c r="AD57" s="565">
        <v>159.91536582376756</v>
      </c>
      <c r="AE57" s="565">
        <v>312.51677708658872</v>
      </c>
    </row>
    <row r="58" spans="2:31" x14ac:dyDescent="0.2">
      <c r="B58" s="563">
        <v>2043</v>
      </c>
      <c r="C58" s="564">
        <v>100224.59501906054</v>
      </c>
      <c r="D58" s="566">
        <v>5059.7707503429119</v>
      </c>
      <c r="E58" s="566">
        <v>5123.9743144372333</v>
      </c>
      <c r="F58" s="566">
        <v>11472.423184880303</v>
      </c>
      <c r="G58" s="566">
        <v>23097.813842875912</v>
      </c>
      <c r="H58" s="566">
        <v>25121.962634301977</v>
      </c>
      <c r="I58" s="567">
        <v>0</v>
      </c>
      <c r="J58" s="567">
        <v>0</v>
      </c>
      <c r="K58" s="567">
        <v>0</v>
      </c>
      <c r="L58" s="567">
        <v>0</v>
      </c>
      <c r="M58" s="567">
        <v>0</v>
      </c>
      <c r="N58" s="583">
        <v>8.2229642734760873</v>
      </c>
      <c r="O58" s="568">
        <f t="shared" si="29"/>
        <v>9.7351750732685431</v>
      </c>
      <c r="P58" s="568">
        <f t="shared" si="28"/>
        <v>10.318319339815629</v>
      </c>
      <c r="Q58" s="568">
        <f t="shared" si="28"/>
        <v>11.617882015838985</v>
      </c>
      <c r="R58" s="568">
        <v>12.352885170205829</v>
      </c>
      <c r="S58" s="568">
        <v>27.552583862284436</v>
      </c>
      <c r="T58" s="565">
        <v>1</v>
      </c>
      <c r="U58" s="565">
        <v>1</v>
      </c>
      <c r="V58" s="565">
        <v>1</v>
      </c>
      <c r="W58" s="565">
        <v>1</v>
      </c>
      <c r="X58" s="565">
        <v>28.689520712438227</v>
      </c>
      <c r="Y58" s="565">
        <v>1</v>
      </c>
      <c r="Z58" s="565">
        <v>0</v>
      </c>
      <c r="AA58" s="565">
        <v>0</v>
      </c>
      <c r="AB58" s="565">
        <v>0</v>
      </c>
      <c r="AC58" s="565">
        <v>0</v>
      </c>
      <c r="AD58" s="565">
        <v>160.21138157083709</v>
      </c>
      <c r="AE58" s="565">
        <v>313.11714194763147</v>
      </c>
    </row>
    <row r="59" spans="2:31" x14ac:dyDescent="0.2">
      <c r="B59" s="563">
        <v>2044</v>
      </c>
      <c r="C59" s="564">
        <v>100224.59501906054</v>
      </c>
      <c r="D59" s="566">
        <v>5059.7707503429119</v>
      </c>
      <c r="E59" s="566">
        <v>5123.9743144372333</v>
      </c>
      <c r="F59" s="566">
        <v>11472.423184880303</v>
      </c>
      <c r="G59" s="566">
        <v>23112.481255639461</v>
      </c>
      <c r="H59" s="566">
        <v>24761.856817207925</v>
      </c>
      <c r="I59" s="567">
        <v>0</v>
      </c>
      <c r="J59" s="567">
        <v>0</v>
      </c>
      <c r="K59" s="567">
        <v>0</v>
      </c>
      <c r="L59" s="567">
        <v>0</v>
      </c>
      <c r="M59" s="567">
        <v>0</v>
      </c>
      <c r="N59" s="583">
        <v>8.2229642734760873</v>
      </c>
      <c r="O59" s="568">
        <f t="shared" si="29"/>
        <v>9.7351750732685431</v>
      </c>
      <c r="P59" s="568">
        <f t="shared" si="28"/>
        <v>10.318319339815629</v>
      </c>
      <c r="Q59" s="568">
        <f t="shared" si="28"/>
        <v>11.617882015838985</v>
      </c>
      <c r="R59" s="568">
        <v>12.420872361212473</v>
      </c>
      <c r="S59" s="568">
        <v>27.645692056578664</v>
      </c>
      <c r="T59" s="565">
        <v>1</v>
      </c>
      <c r="U59" s="565">
        <v>1</v>
      </c>
      <c r="V59" s="565">
        <v>1</v>
      </c>
      <c r="W59" s="565">
        <v>1</v>
      </c>
      <c r="X59" s="565">
        <v>28.78776993213274</v>
      </c>
      <c r="Y59" s="565">
        <v>1</v>
      </c>
      <c r="Z59" s="565">
        <v>0</v>
      </c>
      <c r="AA59" s="565">
        <v>0</v>
      </c>
      <c r="AB59" s="565">
        <v>0</v>
      </c>
      <c r="AC59" s="565">
        <v>0</v>
      </c>
      <c r="AD59" s="565">
        <v>160.50739731790662</v>
      </c>
      <c r="AE59" s="565">
        <v>313.71750680867422</v>
      </c>
    </row>
    <row r="60" spans="2:31" ht="13.5" thickBot="1" x14ac:dyDescent="0.25">
      <c r="B60" s="569">
        <v>2045</v>
      </c>
      <c r="C60" s="570">
        <v>100224.59501906054</v>
      </c>
      <c r="D60" s="572">
        <v>5059.7707503429119</v>
      </c>
      <c r="E60" s="572">
        <v>5123.9743144372333</v>
      </c>
      <c r="F60" s="572">
        <v>11472.423184880303</v>
      </c>
      <c r="G60" s="572">
        <v>23127.14866840301</v>
      </c>
      <c r="H60" s="572">
        <v>24401.751000113873</v>
      </c>
      <c r="I60" s="573">
        <v>0</v>
      </c>
      <c r="J60" s="573">
        <v>0</v>
      </c>
      <c r="K60" s="573">
        <v>0</v>
      </c>
      <c r="L60" s="573">
        <v>0</v>
      </c>
      <c r="M60" s="573">
        <v>0</v>
      </c>
      <c r="N60" s="581">
        <v>8.2229642734760873</v>
      </c>
      <c r="O60" s="574">
        <f t="shared" si="29"/>
        <v>9.7351750732685431</v>
      </c>
      <c r="P60" s="574">
        <f t="shared" si="28"/>
        <v>10.318319339815629</v>
      </c>
      <c r="Q60" s="574">
        <f t="shared" si="28"/>
        <v>11.617882015838985</v>
      </c>
      <c r="R60" s="574">
        <v>12.488859552219115</v>
      </c>
      <c r="S60" s="574">
        <v>27.738800250872895</v>
      </c>
      <c r="T60" s="571">
        <v>1</v>
      </c>
      <c r="U60" s="571">
        <v>1</v>
      </c>
      <c r="V60" s="571">
        <v>1</v>
      </c>
      <c r="W60" s="571">
        <v>1</v>
      </c>
      <c r="X60" s="571">
        <v>28.886019151827249</v>
      </c>
      <c r="Y60" s="571">
        <v>1</v>
      </c>
      <c r="Z60" s="571">
        <v>0</v>
      </c>
      <c r="AA60" s="571">
        <v>0</v>
      </c>
      <c r="AB60" s="571">
        <v>0</v>
      </c>
      <c r="AC60" s="571">
        <v>0</v>
      </c>
      <c r="AD60" s="571">
        <v>160.80341306497616</v>
      </c>
      <c r="AE60" s="571">
        <v>314.31787166971696</v>
      </c>
    </row>
    <row r="61" spans="2:31" x14ac:dyDescent="0.2">
      <c r="B61" s="590">
        <v>2046</v>
      </c>
      <c r="C61" s="591">
        <v>100224.59501906054</v>
      </c>
      <c r="D61" s="593">
        <v>5059.7707503429119</v>
      </c>
      <c r="E61" s="593">
        <v>5123.9743144372333</v>
      </c>
      <c r="F61" s="593">
        <v>11472.423184880303</v>
      </c>
      <c r="G61" s="593">
        <v>23141.816081166558</v>
      </c>
      <c r="H61" s="593">
        <v>24041.64518301982</v>
      </c>
      <c r="I61" s="594">
        <v>0</v>
      </c>
      <c r="J61" s="594">
        <v>0</v>
      </c>
      <c r="K61" s="594">
        <v>0</v>
      </c>
      <c r="L61" s="594">
        <v>0</v>
      </c>
      <c r="M61" s="594">
        <v>0</v>
      </c>
      <c r="N61" s="596">
        <v>8.2229642734760873</v>
      </c>
      <c r="O61" s="595">
        <f t="shared" si="29"/>
        <v>9.7351750732685431</v>
      </c>
      <c r="P61" s="595">
        <f t="shared" si="28"/>
        <v>10.318319339815629</v>
      </c>
      <c r="Q61" s="595">
        <f t="shared" si="28"/>
        <v>11.617882015838985</v>
      </c>
      <c r="R61" s="595">
        <v>12.556846743225758</v>
      </c>
      <c r="S61" s="595">
        <v>27.831908445167123</v>
      </c>
      <c r="T61" s="592">
        <v>1</v>
      </c>
      <c r="U61" s="592">
        <v>1</v>
      </c>
      <c r="V61" s="592">
        <v>1</v>
      </c>
      <c r="W61" s="592">
        <v>1</v>
      </c>
      <c r="X61" s="592">
        <v>28.984268371521758</v>
      </c>
      <c r="Y61" s="592">
        <v>1</v>
      </c>
      <c r="Z61" s="592">
        <v>0</v>
      </c>
      <c r="AA61" s="592">
        <v>0</v>
      </c>
      <c r="AB61" s="592">
        <v>0</v>
      </c>
      <c r="AC61" s="592">
        <v>0</v>
      </c>
      <c r="AD61" s="592">
        <v>161.09942881204569</v>
      </c>
      <c r="AE61" s="592">
        <v>314.91823653075971</v>
      </c>
    </row>
    <row r="62" spans="2:31" x14ac:dyDescent="0.2">
      <c r="B62" s="563">
        <v>2047</v>
      </c>
      <c r="C62" s="564">
        <v>100224.59501906054</v>
      </c>
      <c r="D62" s="566">
        <v>5059.7707503429119</v>
      </c>
      <c r="E62" s="566">
        <v>5123.9743144372333</v>
      </c>
      <c r="F62" s="566">
        <v>11472.423184880303</v>
      </c>
      <c r="G62" s="566">
        <v>23156.483493930107</v>
      </c>
      <c r="H62" s="566">
        <v>23681.539365925768</v>
      </c>
      <c r="I62" s="567">
        <v>0</v>
      </c>
      <c r="J62" s="567">
        <v>0</v>
      </c>
      <c r="K62" s="567">
        <v>0</v>
      </c>
      <c r="L62" s="567">
        <v>0</v>
      </c>
      <c r="M62" s="567">
        <v>0</v>
      </c>
      <c r="N62" s="583">
        <v>8.2229642734760873</v>
      </c>
      <c r="O62" s="568">
        <f t="shared" si="29"/>
        <v>9.7351750732685431</v>
      </c>
      <c r="P62" s="568">
        <f t="shared" si="28"/>
        <v>10.318319339815629</v>
      </c>
      <c r="Q62" s="568">
        <f t="shared" si="28"/>
        <v>11.617882015838985</v>
      </c>
      <c r="R62" s="568">
        <v>12.624833934232401</v>
      </c>
      <c r="S62" s="568">
        <v>27.925016639461354</v>
      </c>
      <c r="T62" s="565">
        <v>1</v>
      </c>
      <c r="U62" s="565">
        <v>1</v>
      </c>
      <c r="V62" s="565">
        <v>1</v>
      </c>
      <c r="W62" s="565">
        <v>1</v>
      </c>
      <c r="X62" s="565">
        <v>29.08251759121627</v>
      </c>
      <c r="Y62" s="565">
        <v>1</v>
      </c>
      <c r="Z62" s="565">
        <v>0</v>
      </c>
      <c r="AA62" s="565">
        <v>0</v>
      </c>
      <c r="AB62" s="565">
        <v>0</v>
      </c>
      <c r="AC62" s="565">
        <v>0</v>
      </c>
      <c r="AD62" s="565">
        <v>161.39544455911522</v>
      </c>
      <c r="AE62" s="565">
        <v>315.51860139180246</v>
      </c>
    </row>
    <row r="63" spans="2:31" x14ac:dyDescent="0.2">
      <c r="B63" s="563">
        <v>2048</v>
      </c>
      <c r="C63" s="564">
        <v>100224.59501906054</v>
      </c>
      <c r="D63" s="566">
        <v>5059.7707503429119</v>
      </c>
      <c r="E63" s="566">
        <v>5123.9743144372333</v>
      </c>
      <c r="F63" s="566">
        <v>11472.423184880303</v>
      </c>
      <c r="G63" s="566">
        <v>23171.150906693656</v>
      </c>
      <c r="H63" s="566">
        <v>23321.433548831716</v>
      </c>
      <c r="I63" s="567">
        <v>0</v>
      </c>
      <c r="J63" s="567">
        <v>0</v>
      </c>
      <c r="K63" s="567">
        <v>0</v>
      </c>
      <c r="L63" s="567">
        <v>0</v>
      </c>
      <c r="M63" s="567">
        <v>0</v>
      </c>
      <c r="N63" s="583">
        <v>8.2229642734760873</v>
      </c>
      <c r="O63" s="568">
        <f t="shared" si="29"/>
        <v>9.7351750732685431</v>
      </c>
      <c r="P63" s="568">
        <f t="shared" si="28"/>
        <v>10.318319339815629</v>
      </c>
      <c r="Q63" s="568">
        <f t="shared" si="28"/>
        <v>11.617882015838985</v>
      </c>
      <c r="R63" s="568">
        <v>12.692821125239044</v>
      </c>
      <c r="S63" s="568">
        <v>28.018124833755582</v>
      </c>
      <c r="T63" s="565">
        <v>1</v>
      </c>
      <c r="U63" s="565">
        <v>1</v>
      </c>
      <c r="V63" s="565">
        <v>1</v>
      </c>
      <c r="W63" s="565">
        <v>1</v>
      </c>
      <c r="X63" s="565">
        <v>29.180766810910775</v>
      </c>
      <c r="Y63" s="565">
        <v>1</v>
      </c>
      <c r="Z63" s="565">
        <v>0</v>
      </c>
      <c r="AA63" s="565">
        <v>0</v>
      </c>
      <c r="AB63" s="565">
        <v>0</v>
      </c>
      <c r="AC63" s="565">
        <v>0</v>
      </c>
      <c r="AD63" s="565">
        <v>161.69146030618475</v>
      </c>
      <c r="AE63" s="565">
        <v>316.11896625284521</v>
      </c>
    </row>
    <row r="64" spans="2:31" x14ac:dyDescent="0.2">
      <c r="B64" s="563">
        <v>2049</v>
      </c>
      <c r="C64" s="564">
        <v>100224.59501906054</v>
      </c>
      <c r="D64" s="566">
        <v>5059.7707503429119</v>
      </c>
      <c r="E64" s="566">
        <v>5123.9743144372333</v>
      </c>
      <c r="F64" s="566">
        <v>11472.423184880303</v>
      </c>
      <c r="G64" s="566">
        <v>23185.818319457205</v>
      </c>
      <c r="H64" s="566">
        <v>22961.327731737663</v>
      </c>
      <c r="I64" s="567">
        <v>0</v>
      </c>
      <c r="J64" s="567">
        <v>0</v>
      </c>
      <c r="K64" s="567">
        <v>0</v>
      </c>
      <c r="L64" s="567">
        <v>0</v>
      </c>
      <c r="M64" s="567">
        <v>0</v>
      </c>
      <c r="N64" s="583">
        <v>8.2229642734760873</v>
      </c>
      <c r="O64" s="568">
        <f t="shared" si="29"/>
        <v>9.7351750732685431</v>
      </c>
      <c r="P64" s="568">
        <f t="shared" si="28"/>
        <v>10.318319339815629</v>
      </c>
      <c r="Q64" s="568">
        <f t="shared" si="28"/>
        <v>11.617882015838985</v>
      </c>
      <c r="R64" s="568">
        <v>12.760808316245686</v>
      </c>
      <c r="S64" s="568">
        <v>28.111233028049813</v>
      </c>
      <c r="T64" s="565">
        <v>1</v>
      </c>
      <c r="U64" s="565">
        <v>1</v>
      </c>
      <c r="V64" s="565">
        <v>1</v>
      </c>
      <c r="W64" s="565">
        <v>1</v>
      </c>
      <c r="X64" s="565">
        <v>29.279016030605288</v>
      </c>
      <c r="Y64" s="565">
        <v>1</v>
      </c>
      <c r="Z64" s="565">
        <v>0</v>
      </c>
      <c r="AA64" s="565">
        <v>0</v>
      </c>
      <c r="AB64" s="565">
        <v>0</v>
      </c>
      <c r="AC64" s="565">
        <v>0</v>
      </c>
      <c r="AD64" s="565">
        <v>161.98747605325428</v>
      </c>
      <c r="AE64" s="565">
        <v>316.71933111388796</v>
      </c>
    </row>
    <row r="65" spans="2:31" ht="13.5" thickBot="1" x14ac:dyDescent="0.25">
      <c r="B65" s="569">
        <v>2050</v>
      </c>
      <c r="C65" s="570">
        <v>100224.59501906054</v>
      </c>
      <c r="D65" s="572">
        <v>5059.7707503429119</v>
      </c>
      <c r="E65" s="572">
        <v>5123.9743144372333</v>
      </c>
      <c r="F65" s="572">
        <v>11472.423184880303</v>
      </c>
      <c r="G65" s="572">
        <v>23200.485732220724</v>
      </c>
      <c r="H65" s="572">
        <v>22601.221914643567</v>
      </c>
      <c r="I65" s="573">
        <v>0</v>
      </c>
      <c r="J65" s="573">
        <v>0</v>
      </c>
      <c r="K65" s="573">
        <v>0</v>
      </c>
      <c r="L65" s="573">
        <v>0</v>
      </c>
      <c r="M65" s="573">
        <v>0</v>
      </c>
      <c r="N65" s="581">
        <v>8.2229642734760873</v>
      </c>
      <c r="O65" s="574">
        <f t="shared" si="29"/>
        <v>9.7351750732685431</v>
      </c>
      <c r="P65" s="574">
        <f t="shared" si="28"/>
        <v>10.318319339815629</v>
      </c>
      <c r="Q65" s="581">
        <f t="shared" si="28"/>
        <v>11.617882015838985</v>
      </c>
      <c r="R65" s="581">
        <v>12.828795507252339</v>
      </c>
      <c r="S65" s="581">
        <v>28.204341222344038</v>
      </c>
      <c r="T65" s="571">
        <v>1</v>
      </c>
      <c r="U65" s="571">
        <v>1</v>
      </c>
      <c r="V65" s="571">
        <v>1</v>
      </c>
      <c r="W65" s="571">
        <v>1</v>
      </c>
      <c r="X65" s="571">
        <v>29.377265250299821</v>
      </c>
      <c r="Y65" s="571">
        <v>1</v>
      </c>
      <c r="Z65" s="571">
        <v>0</v>
      </c>
      <c r="AA65" s="571">
        <v>0</v>
      </c>
      <c r="AB65" s="571">
        <v>0</v>
      </c>
      <c r="AC65" s="571">
        <v>0</v>
      </c>
      <c r="AD65" s="571">
        <v>162.28349180032379</v>
      </c>
      <c r="AE65" s="571">
        <v>317.31969597493031</v>
      </c>
    </row>
    <row r="66" spans="2:31" ht="13.5" thickBot="1" x14ac:dyDescent="0.25">
      <c r="C66" s="518"/>
      <c r="D66" s="518"/>
      <c r="F66" s="518"/>
    </row>
    <row r="67" spans="2:31" ht="13.5" thickBot="1" x14ac:dyDescent="0.25">
      <c r="B67" s="599"/>
      <c r="C67" s="600" t="s">
        <v>204</v>
      </c>
      <c r="D67" s="518"/>
      <c r="F67" s="518"/>
    </row>
    <row r="68" spans="2:31" x14ac:dyDescent="0.2">
      <c r="F68" s="597"/>
      <c r="G68" s="598"/>
      <c r="H68" s="597"/>
      <c r="I68" s="597"/>
      <c r="J68" s="597"/>
      <c r="K68" s="597"/>
      <c r="L68" s="597"/>
      <c r="M68" s="597"/>
      <c r="N68" s="597"/>
      <c r="O68" s="597"/>
      <c r="P68" s="597"/>
    </row>
    <row r="69" spans="2:31" x14ac:dyDescent="0.2">
      <c r="D69" s="600"/>
      <c r="F69" s="597"/>
      <c r="G69" s="598"/>
      <c r="H69" s="597"/>
      <c r="I69" s="597"/>
      <c r="J69" s="597"/>
      <c r="K69" s="597"/>
      <c r="L69" s="597"/>
      <c r="M69" s="597"/>
      <c r="N69" s="597"/>
      <c r="O69" s="597"/>
      <c r="P69" s="597"/>
    </row>
    <row r="70" spans="2:31" x14ac:dyDescent="0.2">
      <c r="B70" s="601"/>
      <c r="F70" s="597"/>
      <c r="G70" s="598"/>
      <c r="H70" s="597"/>
      <c r="I70" s="597"/>
      <c r="J70" s="597"/>
      <c r="K70" s="597"/>
      <c r="L70" s="597"/>
      <c r="M70" s="597"/>
      <c r="N70" s="597"/>
      <c r="O70" s="597"/>
      <c r="P70" s="597"/>
    </row>
    <row r="71" spans="2:31" x14ac:dyDescent="0.2">
      <c r="B71" s="601"/>
      <c r="C71" s="601"/>
      <c r="D71" s="601"/>
      <c r="F71" s="597"/>
      <c r="G71" s="598"/>
      <c r="H71" s="597"/>
      <c r="I71" s="597"/>
      <c r="J71" s="597"/>
      <c r="K71" s="597"/>
      <c r="L71" s="597"/>
      <c r="M71" s="597"/>
      <c r="N71" s="597"/>
      <c r="O71" s="597"/>
      <c r="P71" s="597"/>
    </row>
    <row r="72" spans="2:31" x14ac:dyDescent="0.2">
      <c r="F72" s="597"/>
      <c r="G72" s="598"/>
      <c r="H72" s="597"/>
      <c r="I72" s="597"/>
      <c r="J72" s="597"/>
      <c r="K72" s="597"/>
      <c r="L72" s="597"/>
      <c r="M72" s="597"/>
      <c r="N72" s="597"/>
      <c r="O72" s="597"/>
      <c r="P72" s="597"/>
    </row>
    <row r="73" spans="2:31" x14ac:dyDescent="0.2">
      <c r="F73" s="597"/>
      <c r="G73" s="598"/>
      <c r="H73" s="597"/>
      <c r="I73" s="597"/>
      <c r="J73" s="597"/>
      <c r="K73" s="597"/>
      <c r="L73" s="597"/>
      <c r="M73" s="597"/>
      <c r="N73" s="597"/>
      <c r="O73" s="597"/>
      <c r="P73" s="597"/>
    </row>
    <row r="74" spans="2:31" x14ac:dyDescent="0.2">
      <c r="F74" s="597"/>
      <c r="G74" s="598"/>
      <c r="H74" s="597"/>
      <c r="I74" s="597"/>
      <c r="J74" s="597"/>
      <c r="K74" s="597"/>
      <c r="L74" s="597"/>
      <c r="M74" s="597"/>
      <c r="N74" s="597"/>
      <c r="O74" s="597"/>
      <c r="P74" s="597"/>
    </row>
    <row r="75" spans="2:31" x14ac:dyDescent="0.2">
      <c r="F75" s="597"/>
      <c r="G75" s="598"/>
      <c r="H75" s="597"/>
      <c r="I75" s="597"/>
      <c r="J75" s="597"/>
      <c r="K75" s="597"/>
      <c r="L75" s="597"/>
      <c r="M75" s="597"/>
      <c r="N75" s="597"/>
      <c r="O75" s="597"/>
      <c r="P75" s="597"/>
    </row>
    <row r="76" spans="2:31" x14ac:dyDescent="0.2">
      <c r="F76" s="597"/>
      <c r="G76" s="598"/>
      <c r="H76" s="597"/>
      <c r="I76" s="597"/>
      <c r="J76" s="597"/>
      <c r="K76" s="597"/>
      <c r="L76" s="597"/>
      <c r="M76" s="597"/>
      <c r="N76" s="597"/>
      <c r="O76" s="597"/>
      <c r="P76" s="597"/>
    </row>
    <row r="77" spans="2:31" x14ac:dyDescent="0.2">
      <c r="F77" s="597"/>
      <c r="G77" s="598"/>
      <c r="H77" s="597"/>
      <c r="I77" s="597"/>
      <c r="J77" s="597"/>
      <c r="K77" s="597"/>
      <c r="L77" s="597"/>
      <c r="M77" s="597"/>
      <c r="N77" s="597"/>
      <c r="O77" s="597"/>
      <c r="P77" s="597"/>
    </row>
    <row r="78" spans="2:31" x14ac:dyDescent="0.2">
      <c r="F78" s="597"/>
      <c r="G78" s="598"/>
      <c r="H78" s="597"/>
      <c r="I78" s="597"/>
      <c r="J78" s="597"/>
      <c r="K78" s="597"/>
      <c r="L78" s="597"/>
      <c r="M78" s="597"/>
      <c r="N78" s="597"/>
      <c r="O78" s="597"/>
      <c r="P78" s="597"/>
    </row>
    <row r="79" spans="2:31" x14ac:dyDescent="0.2">
      <c r="F79" s="597"/>
      <c r="G79" s="598"/>
      <c r="H79" s="597"/>
      <c r="I79" s="597"/>
      <c r="J79" s="597"/>
      <c r="K79" s="597"/>
      <c r="L79" s="597"/>
      <c r="M79" s="597"/>
      <c r="N79" s="597"/>
      <c r="O79" s="597"/>
      <c r="P79" s="597"/>
    </row>
    <row r="80" spans="2:31"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R105"/>
  <sheetViews>
    <sheetView tabSelected="1" zoomScale="90" zoomScaleNormal="90" workbookViewId="0">
      <pane xSplit="1" ySplit="10" topLeftCell="L16" activePane="bottomRight" state="frozen"/>
      <selection activeCell="B5" sqref="B5:H5"/>
      <selection pane="topRight" activeCell="B5" sqref="B5:H5"/>
      <selection pane="bottomLeft" activeCell="B5" sqref="B5:H5"/>
      <selection pane="bottomRight" activeCell="U10" sqref="U10"/>
    </sheetView>
  </sheetViews>
  <sheetFormatPr defaultColWidth="9.140625" defaultRowHeight="12.75" x14ac:dyDescent="0.2"/>
  <cols>
    <col min="1" max="1" width="9.140625" style="3"/>
    <col min="2" max="4" width="9.5703125" style="3" customWidth="1"/>
    <col min="5" max="10" width="9.5703125" style="7" customWidth="1"/>
    <col min="11" max="11" width="8.42578125" style="57"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52"/>
    <col min="33" max="16384" width="9.140625" style="3"/>
  </cols>
  <sheetData>
    <row r="1" spans="1:44" x14ac:dyDescent="0.2">
      <c r="A1" s="59" t="s">
        <v>4</v>
      </c>
      <c r="M1" s="3" t="s">
        <v>419</v>
      </c>
      <c r="P1" s="3" t="s">
        <v>380</v>
      </c>
    </row>
    <row r="2" spans="1:44" x14ac:dyDescent="0.2">
      <c r="A2" s="513" t="s">
        <v>424</v>
      </c>
      <c r="B2" s="514"/>
      <c r="C2" s="514"/>
      <c r="D2" s="514"/>
      <c r="E2" s="60" t="s">
        <v>425</v>
      </c>
      <c r="F2" s="57"/>
      <c r="G2" s="61" t="s">
        <v>210</v>
      </c>
      <c r="H2" s="61"/>
      <c r="I2" s="61"/>
      <c r="J2" s="61"/>
      <c r="K2" s="244"/>
      <c r="L2" s="62" t="s">
        <v>213</v>
      </c>
      <c r="M2" s="2">
        <v>134200</v>
      </c>
      <c r="N2" s="3" t="s">
        <v>214</v>
      </c>
      <c r="P2" s="3">
        <f>107.932/104.757</f>
        <v>1.0303082371583761</v>
      </c>
      <c r="W2" s="1371" t="s">
        <v>337</v>
      </c>
      <c r="X2" s="1371"/>
      <c r="Y2" s="1371"/>
      <c r="Z2" s="1371"/>
    </row>
    <row r="3" spans="1:44" x14ac:dyDescent="0.2">
      <c r="A3" s="515" t="s">
        <v>205</v>
      </c>
      <c r="B3" s="514"/>
      <c r="C3" s="516"/>
      <c r="D3" s="514"/>
      <c r="E3" s="244" t="s">
        <v>426</v>
      </c>
      <c r="F3" s="57"/>
      <c r="L3" s="62" t="s">
        <v>326</v>
      </c>
      <c r="M3" s="2">
        <v>138700</v>
      </c>
      <c r="N3" s="3" t="s">
        <v>327</v>
      </c>
      <c r="W3" s="871" t="s">
        <v>5</v>
      </c>
      <c r="X3" s="3">
        <f>AVERAGE(3.14/3.15,3.13/3.14,2.68/2.93,2.65/2.91)</f>
        <v>0.95474234308247208</v>
      </c>
      <c r="Y3" s="871" t="s">
        <v>50</v>
      </c>
      <c r="Z3" s="3">
        <f>2.34/2.2</f>
        <v>1.0636363636363635</v>
      </c>
    </row>
    <row r="4" spans="1:44" x14ac:dyDescent="0.2">
      <c r="A4" s="754" t="s">
        <v>340</v>
      </c>
      <c r="B4" s="755"/>
      <c r="C4" s="756"/>
      <c r="D4" s="755"/>
      <c r="E4" s="244" t="s">
        <v>368</v>
      </c>
      <c r="F4" s="57"/>
      <c r="L4" s="62"/>
      <c r="W4" s="871" t="s">
        <v>1</v>
      </c>
      <c r="X4" s="3">
        <f>1.93/2.23</f>
        <v>0.86547085201793716</v>
      </c>
      <c r="Y4" s="3" t="s">
        <v>0</v>
      </c>
      <c r="Z4" s="3">
        <f>AVERAGE(2.54/2.77,2.54/2.64,2.65/2.56,2.43/2.57,3.11/3.42)</f>
        <v>0.95382539762429508</v>
      </c>
    </row>
    <row r="5" spans="1:44" ht="15.75" x14ac:dyDescent="0.25">
      <c r="A5" s="63"/>
      <c r="B5" s="52"/>
      <c r="C5" s="64"/>
      <c r="D5" s="52"/>
      <c r="E5" s="57"/>
      <c r="F5" s="57"/>
      <c r="G5" s="1369"/>
      <c r="L5" s="712"/>
      <c r="W5" s="871" t="s">
        <v>2</v>
      </c>
      <c r="X5" s="3">
        <f>2.24/2.86</f>
        <v>0.78321678321678334</v>
      </c>
    </row>
    <row r="6" spans="1:44" ht="16.5" thickBot="1" x14ac:dyDescent="0.3">
      <c r="D6" s="52"/>
      <c r="E6" s="52"/>
      <c r="F6" s="3"/>
      <c r="G6" s="1369"/>
      <c r="H6" s="3"/>
      <c r="I6" s="3"/>
      <c r="J6" s="3"/>
      <c r="K6" s="3"/>
      <c r="AA6" s="7"/>
      <c r="AB6" s="7"/>
      <c r="AC6" s="7"/>
      <c r="AE6" s="1370"/>
      <c r="AF6" s="7"/>
      <c r="AG6" s="57"/>
      <c r="AH6" s="712"/>
    </row>
    <row r="7" spans="1:44" ht="16.5" customHeight="1" thickBot="1" x14ac:dyDescent="0.3">
      <c r="A7" s="1548" t="s">
        <v>291</v>
      </c>
      <c r="B7" s="1549"/>
      <c r="C7" s="1549"/>
      <c r="D7" s="1549"/>
      <c r="E7" s="1549"/>
      <c r="F7" s="1549"/>
      <c r="G7" s="1549"/>
      <c r="H7" s="1549"/>
      <c r="I7" s="1549"/>
      <c r="J7" s="1549"/>
      <c r="K7" s="1549"/>
      <c r="L7" s="1549"/>
      <c r="M7" s="1549"/>
      <c r="N7" s="1549"/>
      <c r="O7" s="1549"/>
      <c r="P7" s="1549"/>
      <c r="Q7" s="1549"/>
      <c r="R7" s="1549"/>
      <c r="S7" s="1549"/>
      <c r="T7" s="1550"/>
      <c r="W7" s="1548" t="s">
        <v>290</v>
      </c>
      <c r="X7" s="1549"/>
      <c r="Y7" s="1549"/>
      <c r="Z7" s="1549"/>
      <c r="AA7" s="1549"/>
      <c r="AB7" s="1549"/>
      <c r="AC7" s="1549"/>
      <c r="AD7" s="1549"/>
      <c r="AE7" s="1549"/>
      <c r="AF7" s="1549"/>
      <c r="AG7" s="1549"/>
      <c r="AH7" s="1549"/>
      <c r="AI7" s="1549"/>
      <c r="AJ7" s="1549"/>
      <c r="AK7" s="1549"/>
      <c r="AL7" s="1549"/>
      <c r="AM7" s="1549"/>
      <c r="AN7" s="1549"/>
      <c r="AO7" s="1549"/>
      <c r="AP7" s="1550"/>
      <c r="AQ7" s="1076"/>
    </row>
    <row r="8" spans="1:44" ht="12.75" customHeight="1" x14ac:dyDescent="0.2">
      <c r="A8" s="657"/>
      <c r="B8" s="1551" t="s">
        <v>366</v>
      </c>
      <c r="C8" s="1551"/>
      <c r="D8" s="1551"/>
      <c r="E8" s="1551"/>
      <c r="F8" s="1551"/>
      <c r="G8" s="1551"/>
      <c r="H8" s="1551"/>
      <c r="I8" s="1551"/>
      <c r="J8" s="1058"/>
      <c r="K8" s="1058"/>
      <c r="L8" s="1552" t="s">
        <v>328</v>
      </c>
      <c r="M8" s="1552"/>
      <c r="N8" s="1552"/>
      <c r="O8" s="1552"/>
      <c r="P8" s="1552"/>
      <c r="Q8" s="1552"/>
      <c r="R8" s="1552"/>
      <c r="S8" s="1552"/>
      <c r="T8" s="658"/>
      <c r="W8" s="1065"/>
      <c r="X8" s="1552" t="s">
        <v>215</v>
      </c>
      <c r="Y8" s="1552"/>
      <c r="Z8" s="1552"/>
      <c r="AA8" s="1552"/>
      <c r="AB8" s="1552"/>
      <c r="AC8" s="1552"/>
      <c r="AD8" s="1552"/>
      <c r="AE8" s="1552"/>
      <c r="AF8" s="1066"/>
      <c r="AG8" s="1066"/>
      <c r="AH8" s="1552" t="s">
        <v>328</v>
      </c>
      <c r="AI8" s="1552"/>
      <c r="AJ8" s="1552"/>
      <c r="AK8" s="1552"/>
      <c r="AL8" s="1552"/>
      <c r="AM8" s="1552"/>
      <c r="AN8" s="1552"/>
      <c r="AO8" s="1552"/>
      <c r="AP8" s="1067"/>
      <c r="AQ8" s="1077"/>
    </row>
    <row r="9" spans="1:44" ht="12.75" hidden="1" customHeight="1" x14ac:dyDescent="0.2">
      <c r="A9" s="659"/>
      <c r="B9" s="1553"/>
      <c r="C9" s="1553"/>
      <c r="D9" s="1553"/>
      <c r="E9" s="1553"/>
      <c r="F9" s="1553"/>
      <c r="G9" s="1553"/>
      <c r="H9" s="1553"/>
      <c r="I9" s="1553"/>
      <c r="J9" s="1059"/>
      <c r="K9" s="1059"/>
      <c r="L9" s="1554"/>
      <c r="M9" s="1554"/>
      <c r="N9" s="1554"/>
      <c r="O9" s="1554"/>
      <c r="P9" s="1554"/>
      <c r="Q9" s="1554"/>
      <c r="R9" s="1554"/>
      <c r="S9" s="1554"/>
      <c r="T9" s="660"/>
      <c r="W9" s="659"/>
      <c r="X9" s="1553"/>
      <c r="Y9" s="1553"/>
      <c r="Z9" s="1553"/>
      <c r="AA9" s="1553"/>
      <c r="AB9" s="1553"/>
      <c r="AC9" s="1553"/>
      <c r="AD9" s="1553"/>
      <c r="AE9" s="1553"/>
      <c r="AF9" s="656"/>
      <c r="AG9" s="656"/>
      <c r="AH9" s="1554"/>
      <c r="AI9" s="1554"/>
      <c r="AJ9" s="1554"/>
      <c r="AK9" s="1554"/>
      <c r="AL9" s="1554"/>
      <c r="AM9" s="1554"/>
      <c r="AN9" s="1554"/>
      <c r="AO9" s="1554"/>
      <c r="AP9" s="660"/>
      <c r="AQ9" s="1077"/>
    </row>
    <row r="10" spans="1:44" ht="26.25" thickBot="1" x14ac:dyDescent="0.25">
      <c r="A10" s="661" t="s">
        <v>3</v>
      </c>
      <c r="B10" s="662" t="s">
        <v>2</v>
      </c>
      <c r="C10" s="663" t="s">
        <v>50</v>
      </c>
      <c r="D10" s="663" t="s">
        <v>0</v>
      </c>
      <c r="E10" s="663" t="s">
        <v>51</v>
      </c>
      <c r="F10" s="663" t="s">
        <v>5</v>
      </c>
      <c r="G10" s="663" t="s">
        <v>52</v>
      </c>
      <c r="H10" s="663" t="s">
        <v>1</v>
      </c>
      <c r="I10" s="663" t="s">
        <v>6</v>
      </c>
      <c r="J10" s="663" t="s">
        <v>209</v>
      </c>
      <c r="K10" s="665" t="str">
        <f>A10</f>
        <v>Year</v>
      </c>
      <c r="L10" s="666" t="s">
        <v>2</v>
      </c>
      <c r="M10" s="666" t="s">
        <v>50</v>
      </c>
      <c r="N10" s="666" t="s">
        <v>0</v>
      </c>
      <c r="O10" s="666" t="s">
        <v>51</v>
      </c>
      <c r="P10" s="666" t="s">
        <v>5</v>
      </c>
      <c r="Q10" s="666" t="s">
        <v>52</v>
      </c>
      <c r="R10" s="666" t="s">
        <v>1</v>
      </c>
      <c r="S10" s="666" t="s">
        <v>6</v>
      </c>
      <c r="T10" s="667" t="s">
        <v>209</v>
      </c>
      <c r="U10" s="1663" t="s">
        <v>440</v>
      </c>
      <c r="W10" s="661" t="s">
        <v>3</v>
      </c>
      <c r="X10" s="662" t="s">
        <v>2</v>
      </c>
      <c r="Y10" s="663" t="s">
        <v>50</v>
      </c>
      <c r="Z10" s="663" t="s">
        <v>0</v>
      </c>
      <c r="AA10" s="663" t="s">
        <v>51</v>
      </c>
      <c r="AB10" s="663" t="s">
        <v>5</v>
      </c>
      <c r="AC10" s="663" t="s">
        <v>52</v>
      </c>
      <c r="AD10" s="663" t="s">
        <v>1</v>
      </c>
      <c r="AE10" s="663" t="s">
        <v>6</v>
      </c>
      <c r="AF10" s="663" t="s">
        <v>209</v>
      </c>
      <c r="AG10" s="665" t="str">
        <f>W10</f>
        <v>Year</v>
      </c>
      <c r="AH10" s="666" t="s">
        <v>2</v>
      </c>
      <c r="AI10" s="666" t="s">
        <v>50</v>
      </c>
      <c r="AJ10" s="666" t="s">
        <v>0</v>
      </c>
      <c r="AK10" s="666" t="s">
        <v>51</v>
      </c>
      <c r="AL10" s="666" t="s">
        <v>5</v>
      </c>
      <c r="AM10" s="666" t="s">
        <v>52</v>
      </c>
      <c r="AN10" s="666" t="s">
        <v>1</v>
      </c>
      <c r="AO10" s="666" t="s">
        <v>6</v>
      </c>
      <c r="AP10" s="667" t="s">
        <v>209</v>
      </c>
      <c r="AQ10" s="1077"/>
    </row>
    <row r="11" spans="1:44" ht="13.5" thickBot="1" x14ac:dyDescent="0.25">
      <c r="A11" s="1068">
        <v>2007</v>
      </c>
      <c r="B11" s="1069">
        <v>23.831382999999999</v>
      </c>
      <c r="C11" s="1069">
        <v>27.431152000000001</v>
      </c>
      <c r="D11" s="1069">
        <v>23.664128999999999</v>
      </c>
      <c r="E11" s="1069">
        <v>15.767529</v>
      </c>
      <c r="F11" s="1069">
        <v>21.548693</v>
      </c>
      <c r="G11" s="1069">
        <v>9.1869709999999998</v>
      </c>
      <c r="H11" s="1069">
        <v>13.840966</v>
      </c>
      <c r="I11" s="1069">
        <v>32.004199999999997</v>
      </c>
      <c r="J11" s="1423">
        <f t="shared" ref="J11:J18" si="0">K62/$M$2*10^6</f>
        <v>74.515648286140092</v>
      </c>
      <c r="K11" s="645">
        <f t="shared" ref="K11:K15" si="1">A11</f>
        <v>2007</v>
      </c>
      <c r="L11" s="646">
        <f t="shared" ref="L11:L54" si="2">B11*HVDiesel/10^6</f>
        <v>3.3054128221000001</v>
      </c>
      <c r="M11" s="646">
        <f t="shared" ref="M11:M54" si="3">C11*HVDiesel/10^6</f>
        <v>3.8047007823999999</v>
      </c>
      <c r="N11" s="646">
        <f t="shared" ref="N11:N54" si="4">D11*HVDiesel/10^6</f>
        <v>3.2822146922999997</v>
      </c>
      <c r="O11" s="646">
        <f t="shared" ref="O11:O54" si="5">E11*HVDiesel/10^6</f>
        <v>2.1869562722999998</v>
      </c>
      <c r="P11" s="646">
        <f t="shared" ref="P11:P54" si="6">F11*HVDiesel/10^6</f>
        <v>2.9888037190999999</v>
      </c>
      <c r="Q11" s="646">
        <f t="shared" ref="Q11:Q54" si="7">G11*HVDiesel/10^6</f>
        <v>1.2742328777</v>
      </c>
      <c r="R11" s="646">
        <f t="shared" ref="R11:R54" si="8">H11*HVDiesel/10^6</f>
        <v>1.9197419842000001</v>
      </c>
      <c r="S11" s="646">
        <f t="shared" ref="S11:S23" si="9">I11*HVDiesel/10^6</f>
        <v>4.4389825400000005</v>
      </c>
      <c r="T11" s="647">
        <f t="shared" ref="T11:T54" si="10">J11*HVDiesel/10^6</f>
        <v>10.335320417287631</v>
      </c>
      <c r="U11" s="1664"/>
      <c r="W11" s="655">
        <v>2007</v>
      </c>
      <c r="X11" s="668">
        <f t="shared" ref="X11:Y16" si="11">0.99*B11</f>
        <v>23.59306917</v>
      </c>
      <c r="Y11" s="668">
        <f t="shared" si="11"/>
        <v>27.15684048</v>
      </c>
      <c r="Z11" s="668">
        <f>$Z$4*D11</f>
        <v>22.571447252857613</v>
      </c>
      <c r="AA11" s="668">
        <f t="shared" ref="AA11:AC16" si="12">0.99*E11</f>
        <v>15.609853709999999</v>
      </c>
      <c r="AB11" s="668">
        <f t="shared" si="12"/>
        <v>21.333206069999999</v>
      </c>
      <c r="AC11" s="668">
        <f t="shared" si="12"/>
        <v>9.0951012900000006</v>
      </c>
      <c r="AD11" s="668">
        <f t="shared" ref="AD11:AD54" si="13">$X$4*H11</f>
        <v>11.9789526367713</v>
      </c>
      <c r="AE11" s="668">
        <f>I11</f>
        <v>32.004199999999997</v>
      </c>
      <c r="AF11" s="752">
        <f t="shared" ref="AF11:AF18" si="14">AG62/$M$2*10^6</f>
        <v>74.515648286140092</v>
      </c>
      <c r="AG11" s="645">
        <f t="shared" ref="AG11:AG15" si="15">W11</f>
        <v>2007</v>
      </c>
      <c r="AH11" s="646">
        <f t="shared" ref="AH11:AH54" si="16">X11*HVDiesel/10^6</f>
        <v>3.2723586938789997</v>
      </c>
      <c r="AI11" s="646">
        <f t="shared" ref="AI11:AI54" si="17">Y11*HVDiesel/10^6</f>
        <v>3.766653774576</v>
      </c>
      <c r="AJ11" s="646">
        <f t="shared" ref="AJ11:AJ54" si="18">Z11*HVDiesel/10^6</f>
        <v>3.1306597339713509</v>
      </c>
      <c r="AK11" s="646">
        <f t="shared" ref="AK11:AK54" si="19">AA11*HVDiesel/10^6</f>
        <v>2.1650867095769999</v>
      </c>
      <c r="AL11" s="646">
        <f t="shared" ref="AL11:AL54" si="20">AB11*HVDiesel/10^6</f>
        <v>2.9589156819090001</v>
      </c>
      <c r="AM11" s="646">
        <f t="shared" ref="AM11:AM54" si="21">AC11*HVDiesel/10^6</f>
        <v>1.2614905489229999</v>
      </c>
      <c r="AN11" s="646">
        <f t="shared" ref="AN11:AN54" si="22">AD11*HVDiesel/10^6</f>
        <v>1.6614807307201793</v>
      </c>
      <c r="AO11" s="646">
        <f t="shared" ref="AO11:AO23" si="23">AE11*HVDiesel/10^6</f>
        <v>4.4389825400000005</v>
      </c>
      <c r="AP11" s="647">
        <f t="shared" ref="AP11:AP54" si="24">AF11*HVDiesel/10^6</f>
        <v>10.335320417287631</v>
      </c>
      <c r="AQ11" s="10"/>
      <c r="AR11" s="1" t="s">
        <v>216</v>
      </c>
    </row>
    <row r="12" spans="1:44" ht="13.5" thickTop="1" x14ac:dyDescent="0.2">
      <c r="A12" s="508">
        <v>2008</v>
      </c>
      <c r="B12" s="669">
        <v>28.925077000000002</v>
      </c>
      <c r="C12" s="669">
        <v>33.544201000000001</v>
      </c>
      <c r="D12" s="669">
        <v>29.638597000000001</v>
      </c>
      <c r="E12" s="669">
        <v>24.678422999999999</v>
      </c>
      <c r="F12" s="669">
        <v>30.093145</v>
      </c>
      <c r="G12" s="669">
        <v>15.781518</v>
      </c>
      <c r="H12" s="669">
        <v>20.719681000000001</v>
      </c>
      <c r="I12" s="669">
        <v>41.567065999999997</v>
      </c>
      <c r="J12" s="1424">
        <f t="shared" si="0"/>
        <v>74.515648286140092</v>
      </c>
      <c r="K12" s="648">
        <f t="shared" si="1"/>
        <v>2008</v>
      </c>
      <c r="L12" s="643">
        <f t="shared" si="2"/>
        <v>4.0119081799000007</v>
      </c>
      <c r="M12" s="643">
        <f t="shared" si="3"/>
        <v>4.6525806786999997</v>
      </c>
      <c r="N12" s="643">
        <f t="shared" si="4"/>
        <v>4.1108734039000003</v>
      </c>
      <c r="O12" s="643">
        <f t="shared" si="5"/>
        <v>3.4228972701</v>
      </c>
      <c r="P12" s="643">
        <f t="shared" si="6"/>
        <v>4.1739192114999994</v>
      </c>
      <c r="Q12" s="643">
        <f t="shared" si="7"/>
        <v>2.1888965466000001</v>
      </c>
      <c r="R12" s="643">
        <f t="shared" si="8"/>
        <v>2.8738197547000004</v>
      </c>
      <c r="S12" s="643">
        <f t="shared" si="9"/>
        <v>5.7653520541999992</v>
      </c>
      <c r="T12" s="649">
        <f t="shared" si="10"/>
        <v>10.335320417287631</v>
      </c>
      <c r="U12" s="1664"/>
      <c r="W12" s="508">
        <v>2008</v>
      </c>
      <c r="X12" s="669">
        <f t="shared" si="11"/>
        <v>28.635826230000003</v>
      </c>
      <c r="Y12" s="669">
        <f t="shared" si="11"/>
        <v>33.20875899</v>
      </c>
      <c r="Z12" s="669">
        <f t="shared" ref="Z12:Z58" si="25">$Z$4*D12</f>
        <v>28.270046568551241</v>
      </c>
      <c r="AA12" s="669">
        <f t="shared" si="12"/>
        <v>24.431638769999999</v>
      </c>
      <c r="AB12" s="669">
        <f t="shared" si="12"/>
        <v>29.79221355</v>
      </c>
      <c r="AC12" s="669">
        <f t="shared" si="12"/>
        <v>15.62370282</v>
      </c>
      <c r="AD12" s="669">
        <f t="shared" si="13"/>
        <v>17.932279968609866</v>
      </c>
      <c r="AE12" s="669">
        <f t="shared" ref="AE12:AE54" si="26">I12</f>
        <v>41.567065999999997</v>
      </c>
      <c r="AF12" s="752">
        <f t="shared" si="14"/>
        <v>74.515648286140092</v>
      </c>
      <c r="AG12" s="648">
        <f t="shared" si="15"/>
        <v>2008</v>
      </c>
      <c r="AH12" s="643">
        <f t="shared" si="16"/>
        <v>3.9717890981010004</v>
      </c>
      <c r="AI12" s="643">
        <f t="shared" si="17"/>
        <v>4.6060548719129999</v>
      </c>
      <c r="AJ12" s="643">
        <f t="shared" si="18"/>
        <v>3.9210554590580569</v>
      </c>
      <c r="AK12" s="643">
        <f t="shared" si="19"/>
        <v>3.3886682973989997</v>
      </c>
      <c r="AL12" s="643">
        <f t="shared" si="20"/>
        <v>4.1321800193849993</v>
      </c>
      <c r="AM12" s="643">
        <f t="shared" si="21"/>
        <v>2.1670075811339999</v>
      </c>
      <c r="AN12" s="643">
        <f t="shared" si="22"/>
        <v>2.4872072316461886</v>
      </c>
      <c r="AO12" s="643">
        <f t="shared" si="23"/>
        <v>5.7653520541999992</v>
      </c>
      <c r="AP12" s="649">
        <f t="shared" si="24"/>
        <v>10.335320417287631</v>
      </c>
      <c r="AQ12" s="10"/>
      <c r="AR12" s="1073" t="str">
        <f t="array" ref="AR12:AR20">TRANSPOSE(AH10:AP10)</f>
        <v>LPG</v>
      </c>
    </row>
    <row r="13" spans="1:44" x14ac:dyDescent="0.2">
      <c r="A13" s="508">
        <v>2009</v>
      </c>
      <c r="B13" s="669">
        <v>27.142980999999999</v>
      </c>
      <c r="C13" s="669">
        <v>22.027393</v>
      </c>
      <c r="D13" s="669">
        <v>21.432345999999999</v>
      </c>
      <c r="E13" s="669">
        <v>13.673363</v>
      </c>
      <c r="F13" s="669">
        <v>19.350401000000002</v>
      </c>
      <c r="G13" s="669">
        <v>11.342912999999999</v>
      </c>
      <c r="H13" s="669">
        <v>16.473005000000001</v>
      </c>
      <c r="I13" s="669">
        <v>62.290424000000002</v>
      </c>
      <c r="J13" s="1424">
        <f t="shared" si="0"/>
        <v>74.515648286140092</v>
      </c>
      <c r="K13" s="648">
        <f t="shared" si="1"/>
        <v>2009</v>
      </c>
      <c r="L13" s="643">
        <f t="shared" si="2"/>
        <v>3.7647314647000001</v>
      </c>
      <c r="M13" s="643">
        <f t="shared" si="3"/>
        <v>3.0551994090999997</v>
      </c>
      <c r="N13" s="643">
        <f t="shared" si="4"/>
        <v>2.9726663901999997</v>
      </c>
      <c r="O13" s="643">
        <f t="shared" si="5"/>
        <v>1.8964954480999998</v>
      </c>
      <c r="P13" s="643">
        <f t="shared" si="6"/>
        <v>2.6839006187000001</v>
      </c>
      <c r="Q13" s="643">
        <f t="shared" si="7"/>
        <v>1.5732620330999998</v>
      </c>
      <c r="R13" s="643">
        <f t="shared" si="8"/>
        <v>2.2848057935000003</v>
      </c>
      <c r="S13" s="643">
        <f t="shared" si="9"/>
        <v>8.6396818088000007</v>
      </c>
      <c r="T13" s="649">
        <f t="shared" si="10"/>
        <v>10.335320417287631</v>
      </c>
      <c r="U13" s="1664"/>
      <c r="W13" s="508">
        <v>2009</v>
      </c>
      <c r="X13" s="669">
        <f t="shared" si="11"/>
        <v>26.871551189999998</v>
      </c>
      <c r="Y13" s="669">
        <f t="shared" si="11"/>
        <v>21.807119069999999</v>
      </c>
      <c r="Z13" s="669">
        <f t="shared" si="25"/>
        <v>20.44271594547147</v>
      </c>
      <c r="AA13" s="669">
        <f t="shared" si="12"/>
        <v>13.53662937</v>
      </c>
      <c r="AB13" s="669">
        <f t="shared" si="12"/>
        <v>19.15689699</v>
      </c>
      <c r="AC13" s="669">
        <f t="shared" si="12"/>
        <v>11.229483869999999</v>
      </c>
      <c r="AD13" s="669">
        <f t="shared" si="13"/>
        <v>14.25690567264574</v>
      </c>
      <c r="AE13" s="669">
        <f t="shared" si="26"/>
        <v>62.290424000000002</v>
      </c>
      <c r="AF13" s="752">
        <f t="shared" si="14"/>
        <v>74.515648286140092</v>
      </c>
      <c r="AG13" s="648">
        <f t="shared" si="15"/>
        <v>2009</v>
      </c>
      <c r="AH13" s="643">
        <f t="shared" si="16"/>
        <v>3.7270841500529994</v>
      </c>
      <c r="AI13" s="643">
        <f t="shared" si="17"/>
        <v>3.0246474150089999</v>
      </c>
      <c r="AJ13" s="643">
        <f t="shared" si="18"/>
        <v>2.8354047016368926</v>
      </c>
      <c r="AK13" s="643">
        <f t="shared" si="19"/>
        <v>1.877530493619</v>
      </c>
      <c r="AL13" s="643">
        <f t="shared" si="20"/>
        <v>2.657061612513</v>
      </c>
      <c r="AM13" s="643">
        <f t="shared" si="21"/>
        <v>1.5575294127689998</v>
      </c>
      <c r="AN13" s="643">
        <f t="shared" si="22"/>
        <v>1.9774328167959641</v>
      </c>
      <c r="AO13" s="643">
        <f t="shared" si="23"/>
        <v>8.6396818088000007</v>
      </c>
      <c r="AP13" s="649">
        <f t="shared" si="24"/>
        <v>10.335320417287631</v>
      </c>
      <c r="AQ13" s="10"/>
      <c r="AR13" s="1074" t="str">
        <v>E85</v>
      </c>
    </row>
    <row r="14" spans="1:44" x14ac:dyDescent="0.2">
      <c r="A14" s="509">
        <v>2010</v>
      </c>
      <c r="B14" s="669">
        <v>26.497553</v>
      </c>
      <c r="C14" s="669">
        <v>26.790133000000001</v>
      </c>
      <c r="D14" s="669">
        <v>25.063604000000002</v>
      </c>
      <c r="E14" s="669">
        <v>17.441685</v>
      </c>
      <c r="F14" s="669">
        <v>23.197997999999998</v>
      </c>
      <c r="G14" s="669">
        <v>11.209270999999999</v>
      </c>
      <c r="H14" s="669">
        <v>17.178132999999999</v>
      </c>
      <c r="I14" s="669">
        <v>44.797077000000002</v>
      </c>
      <c r="J14" s="1424">
        <f t="shared" si="0"/>
        <v>74.515648286140092</v>
      </c>
      <c r="K14" s="650">
        <f t="shared" si="1"/>
        <v>2010</v>
      </c>
      <c r="L14" s="644">
        <f t="shared" si="2"/>
        <v>3.6752106011000003</v>
      </c>
      <c r="M14" s="644">
        <f t="shared" si="3"/>
        <v>3.7157914471</v>
      </c>
      <c r="N14" s="644">
        <f t="shared" si="4"/>
        <v>3.4763218748000004</v>
      </c>
      <c r="O14" s="644">
        <f t="shared" si="5"/>
        <v>2.4191617095</v>
      </c>
      <c r="P14" s="644">
        <f t="shared" si="6"/>
        <v>3.2175623225999996</v>
      </c>
      <c r="Q14" s="644">
        <f t="shared" si="7"/>
        <v>1.5547258876999999</v>
      </c>
      <c r="R14" s="644">
        <f t="shared" si="8"/>
        <v>2.3826070471</v>
      </c>
      <c r="S14" s="644">
        <f t="shared" si="9"/>
        <v>6.2133545798999998</v>
      </c>
      <c r="T14" s="651">
        <f t="shared" si="10"/>
        <v>10.335320417287631</v>
      </c>
      <c r="U14" s="1664"/>
      <c r="W14" s="509">
        <v>2010</v>
      </c>
      <c r="X14" s="669">
        <f t="shared" si="11"/>
        <v>26.232577469999999</v>
      </c>
      <c r="Y14" s="669">
        <f t="shared" si="11"/>
        <v>26.52223167</v>
      </c>
      <c r="Z14" s="669">
        <f t="shared" si="25"/>
        <v>23.906302051197873</v>
      </c>
      <c r="AA14" s="669">
        <f t="shared" si="12"/>
        <v>17.26726815</v>
      </c>
      <c r="AB14" s="669">
        <f t="shared" si="12"/>
        <v>22.96601802</v>
      </c>
      <c r="AC14" s="669">
        <f t="shared" si="12"/>
        <v>11.097178289999999</v>
      </c>
      <c r="AD14" s="669">
        <f t="shared" si="13"/>
        <v>14.867173403587442</v>
      </c>
      <c r="AE14" s="669">
        <f t="shared" si="26"/>
        <v>44.797077000000002</v>
      </c>
      <c r="AF14" s="752">
        <f t="shared" si="14"/>
        <v>74.515648286140092</v>
      </c>
      <c r="AG14" s="650">
        <f t="shared" si="15"/>
        <v>2010</v>
      </c>
      <c r="AH14" s="644">
        <f t="shared" si="16"/>
        <v>3.6384584950889995</v>
      </c>
      <c r="AI14" s="644">
        <f t="shared" si="17"/>
        <v>3.6786335326290001</v>
      </c>
      <c r="AJ14" s="644">
        <f t="shared" si="18"/>
        <v>3.3158040945011451</v>
      </c>
      <c r="AK14" s="644">
        <f t="shared" si="19"/>
        <v>2.3949700924049999</v>
      </c>
      <c r="AL14" s="644">
        <f t="shared" si="20"/>
        <v>3.1853866993739999</v>
      </c>
      <c r="AM14" s="644">
        <f t="shared" si="21"/>
        <v>1.5391786288229998</v>
      </c>
      <c r="AN14" s="644">
        <f t="shared" si="22"/>
        <v>2.0620769510775783</v>
      </c>
      <c r="AO14" s="644">
        <f t="shared" si="23"/>
        <v>6.2133545798999998</v>
      </c>
      <c r="AP14" s="651">
        <f t="shared" si="24"/>
        <v>10.335320417287631</v>
      </c>
      <c r="AQ14" s="10"/>
      <c r="AR14" s="1074" t="str">
        <v>Gasoline</v>
      </c>
    </row>
    <row r="15" spans="1:44" x14ac:dyDescent="0.2">
      <c r="A15" s="510">
        <v>2011</v>
      </c>
      <c r="B15" s="669">
        <v>27.153307000000002</v>
      </c>
      <c r="C15" s="669">
        <v>34.314692999999998</v>
      </c>
      <c r="D15" s="669">
        <v>32.051006000000001</v>
      </c>
      <c r="E15" s="669">
        <v>23.669519000000001</v>
      </c>
      <c r="F15" s="669">
        <v>29.176743999999999</v>
      </c>
      <c r="G15" s="669">
        <v>18.559363999999999</v>
      </c>
      <c r="H15" s="669">
        <v>17.058402999999998</v>
      </c>
      <c r="I15" s="669">
        <v>35.388840000000002</v>
      </c>
      <c r="J15" s="1424">
        <f t="shared" si="0"/>
        <v>74.515648286140092</v>
      </c>
      <c r="K15" s="648">
        <f t="shared" si="1"/>
        <v>2011</v>
      </c>
      <c r="L15" s="643">
        <f t="shared" si="2"/>
        <v>3.7661636809000001</v>
      </c>
      <c r="M15" s="643">
        <f t="shared" si="3"/>
        <v>4.7594479190999994</v>
      </c>
      <c r="N15" s="643">
        <f t="shared" si="4"/>
        <v>4.4454745322000004</v>
      </c>
      <c r="O15" s="643">
        <f t="shared" si="5"/>
        <v>3.2829622853</v>
      </c>
      <c r="P15" s="643">
        <f t="shared" si="6"/>
        <v>4.0468143928</v>
      </c>
      <c r="Q15" s="643">
        <f t="shared" si="7"/>
        <v>2.5741837867999999</v>
      </c>
      <c r="R15" s="643">
        <f t="shared" si="8"/>
        <v>2.3660004960999999</v>
      </c>
      <c r="S15" s="643">
        <f t="shared" si="9"/>
        <v>4.9084321080000004</v>
      </c>
      <c r="T15" s="649">
        <f t="shared" si="10"/>
        <v>10.335320417287631</v>
      </c>
      <c r="U15" s="1664"/>
      <c r="W15" s="510">
        <v>2011</v>
      </c>
      <c r="X15" s="669">
        <f t="shared" si="11"/>
        <v>26.881773930000001</v>
      </c>
      <c r="Y15" s="669">
        <f t="shared" si="11"/>
        <v>33.971546069999995</v>
      </c>
      <c r="Z15" s="669">
        <f t="shared" si="25"/>
        <v>30.57106354220867</v>
      </c>
      <c r="AA15" s="669">
        <f t="shared" si="12"/>
        <v>23.432823810000002</v>
      </c>
      <c r="AB15" s="669">
        <f t="shared" si="12"/>
        <v>28.884976559999998</v>
      </c>
      <c r="AC15" s="669">
        <f t="shared" si="12"/>
        <v>18.373770359999998</v>
      </c>
      <c r="AD15" s="669">
        <f t="shared" si="13"/>
        <v>14.763550578475334</v>
      </c>
      <c r="AE15" s="669">
        <f t="shared" si="26"/>
        <v>35.388840000000002</v>
      </c>
      <c r="AF15" s="752">
        <f t="shared" si="14"/>
        <v>74.515648286140092</v>
      </c>
      <c r="AG15" s="648">
        <f t="shared" si="15"/>
        <v>2011</v>
      </c>
      <c r="AH15" s="643">
        <f t="shared" si="16"/>
        <v>3.7285020440910004</v>
      </c>
      <c r="AI15" s="643">
        <f t="shared" si="17"/>
        <v>4.7118534399089986</v>
      </c>
      <c r="AJ15" s="643">
        <f t="shared" si="18"/>
        <v>4.2402065133043427</v>
      </c>
      <c r="AK15" s="643">
        <f t="shared" si="19"/>
        <v>3.2501326624470006</v>
      </c>
      <c r="AL15" s="643">
        <f t="shared" si="20"/>
        <v>4.0063462488720001</v>
      </c>
      <c r="AM15" s="643">
        <f t="shared" si="21"/>
        <v>2.548441948932</v>
      </c>
      <c r="AN15" s="643">
        <f t="shared" si="22"/>
        <v>2.0477044652345286</v>
      </c>
      <c r="AO15" s="643">
        <f t="shared" si="23"/>
        <v>4.9084321080000004</v>
      </c>
      <c r="AP15" s="649">
        <f t="shared" si="24"/>
        <v>10.335320417287631</v>
      </c>
      <c r="AQ15" s="10"/>
      <c r="AR15" s="1074" t="str">
        <v>Jet Fuel</v>
      </c>
    </row>
    <row r="16" spans="1:44" x14ac:dyDescent="0.2">
      <c r="A16" s="1070">
        <v>2012</v>
      </c>
      <c r="B16" s="670">
        <v>26.060852000000001</v>
      </c>
      <c r="C16" s="670">
        <v>36.734264000000003</v>
      </c>
      <c r="D16" s="670">
        <v>31.5471</v>
      </c>
      <c r="E16" s="670">
        <v>23.645123000000002</v>
      </c>
      <c r="F16" s="670">
        <v>29.614211999999998</v>
      </c>
      <c r="G16" s="670">
        <v>20.590979000000001</v>
      </c>
      <c r="H16" s="670">
        <v>17.207750000000001</v>
      </c>
      <c r="I16" s="670">
        <v>30.248889999999999</v>
      </c>
      <c r="J16" s="1424">
        <f t="shared" si="0"/>
        <v>74.515648286140092</v>
      </c>
      <c r="K16" s="648">
        <v>2012</v>
      </c>
      <c r="L16" s="643">
        <f t="shared" si="2"/>
        <v>3.6146401724000001</v>
      </c>
      <c r="M16" s="643">
        <f t="shared" si="3"/>
        <v>5.095042416800001</v>
      </c>
      <c r="N16" s="643">
        <f t="shared" si="4"/>
        <v>4.3755827700000003</v>
      </c>
      <c r="O16" s="643">
        <f t="shared" si="5"/>
        <v>3.2795785601000005</v>
      </c>
      <c r="P16" s="643">
        <f t="shared" si="6"/>
        <v>4.1074912043999996</v>
      </c>
      <c r="Q16" s="643">
        <f t="shared" si="7"/>
        <v>2.8559687873000001</v>
      </c>
      <c r="R16" s="643">
        <f t="shared" si="8"/>
        <v>2.3867149250000002</v>
      </c>
      <c r="S16" s="643">
        <f t="shared" si="9"/>
        <v>4.1955210429999994</v>
      </c>
      <c r="T16" s="649">
        <f t="shared" si="10"/>
        <v>10.335320417287631</v>
      </c>
      <c r="U16" s="1664"/>
      <c r="W16" s="505">
        <v>2012</v>
      </c>
      <c r="X16" s="670">
        <f t="shared" si="11"/>
        <v>25.800243479999999</v>
      </c>
      <c r="Y16" s="670">
        <f t="shared" si="11"/>
        <v>36.366921360000006</v>
      </c>
      <c r="Z16" s="670">
        <f t="shared" si="25"/>
        <v>30.090425201393401</v>
      </c>
      <c r="AA16" s="670">
        <f t="shared" si="12"/>
        <v>23.408671770000002</v>
      </c>
      <c r="AB16" s="670">
        <f t="shared" si="12"/>
        <v>29.318069879999999</v>
      </c>
      <c r="AC16" s="670">
        <f t="shared" si="12"/>
        <v>20.385069210000001</v>
      </c>
      <c r="AD16" s="670">
        <f t="shared" si="13"/>
        <v>14.892806053811659</v>
      </c>
      <c r="AE16" s="670">
        <f t="shared" si="26"/>
        <v>30.248889999999999</v>
      </c>
      <c r="AF16" s="752">
        <f t="shared" si="14"/>
        <v>74.515648286140092</v>
      </c>
      <c r="AG16" s="648">
        <v>2012</v>
      </c>
      <c r="AH16" s="643">
        <f t="shared" si="16"/>
        <v>3.5784937706759998</v>
      </c>
      <c r="AI16" s="643">
        <f t="shared" si="17"/>
        <v>5.0440919926320005</v>
      </c>
      <c r="AJ16" s="643">
        <f t="shared" si="18"/>
        <v>4.173541975433265</v>
      </c>
      <c r="AK16" s="643">
        <f t="shared" si="19"/>
        <v>3.2467827744990001</v>
      </c>
      <c r="AL16" s="643">
        <f t="shared" si="20"/>
        <v>4.0664162923560001</v>
      </c>
      <c r="AM16" s="643">
        <f t="shared" si="21"/>
        <v>2.8274090994270002</v>
      </c>
      <c r="AN16" s="643">
        <f t="shared" si="22"/>
        <v>2.0656321996636771</v>
      </c>
      <c r="AO16" s="643">
        <f t="shared" si="23"/>
        <v>4.1955210429999994</v>
      </c>
      <c r="AP16" s="649">
        <f t="shared" si="24"/>
        <v>10.335320417287631</v>
      </c>
      <c r="AQ16" s="10"/>
      <c r="AR16" s="1074" t="str">
        <v>Diesel</v>
      </c>
    </row>
    <row r="17" spans="1:44" x14ac:dyDescent="0.2">
      <c r="A17" s="1070">
        <v>2013</v>
      </c>
      <c r="B17" s="670">
        <v>25.294118999999998</v>
      </c>
      <c r="C17" s="670">
        <v>33.997013000000003</v>
      </c>
      <c r="D17" s="670">
        <v>30.099104000000001</v>
      </c>
      <c r="E17" s="670">
        <v>22.417128000000002</v>
      </c>
      <c r="F17" s="670">
        <v>29.023026000000002</v>
      </c>
      <c r="G17" s="670">
        <v>19.805682999999998</v>
      </c>
      <c r="H17" s="670">
        <v>18.155642</v>
      </c>
      <c r="I17" s="670">
        <v>31.006128</v>
      </c>
      <c r="J17" s="1424">
        <f t="shared" si="0"/>
        <v>74.515648286140092</v>
      </c>
      <c r="K17" s="648">
        <v>2013</v>
      </c>
      <c r="L17" s="643">
        <f t="shared" si="2"/>
        <v>3.5082943052999997</v>
      </c>
      <c r="M17" s="643">
        <f t="shared" si="3"/>
        <v>4.7153857031000008</v>
      </c>
      <c r="N17" s="643">
        <f t="shared" si="4"/>
        <v>4.1747457248000002</v>
      </c>
      <c r="O17" s="643">
        <f t="shared" si="5"/>
        <v>3.1092556536000004</v>
      </c>
      <c r="P17" s="643">
        <f t="shared" si="6"/>
        <v>4.0254937062000007</v>
      </c>
      <c r="Q17" s="643">
        <f t="shared" si="7"/>
        <v>2.7470482320999996</v>
      </c>
      <c r="R17" s="643">
        <f t="shared" si="8"/>
        <v>2.5181875454</v>
      </c>
      <c r="S17" s="643">
        <f t="shared" si="9"/>
        <v>4.3005499536</v>
      </c>
      <c r="T17" s="649">
        <f t="shared" si="10"/>
        <v>10.335320417287631</v>
      </c>
      <c r="U17" s="1664"/>
      <c r="W17" s="505">
        <v>2013</v>
      </c>
      <c r="X17" s="670">
        <f>$X$5*B17</f>
        <v>19.810778517482518</v>
      </c>
      <c r="Y17" s="670">
        <f t="shared" ref="Y17:Y58" si="27">$Z$3*C17</f>
        <v>36.160459281818177</v>
      </c>
      <c r="Z17" s="670">
        <f t="shared" si="25"/>
        <v>28.709289840935011</v>
      </c>
      <c r="AA17" s="670">
        <f t="shared" ref="AA17:AA54" si="28">0.99*E17</f>
        <v>22.192956720000002</v>
      </c>
      <c r="AB17" s="670">
        <f t="shared" ref="AB17:AB58" si="29">$X$3*F17</f>
        <v>27.70951184658351</v>
      </c>
      <c r="AC17" s="670">
        <f t="shared" ref="AC17:AC54" si="30">0.99*G17</f>
        <v>19.60762617</v>
      </c>
      <c r="AD17" s="670">
        <f t="shared" si="13"/>
        <v>15.713178950672646</v>
      </c>
      <c r="AE17" s="670">
        <f t="shared" si="26"/>
        <v>31.006128</v>
      </c>
      <c r="AF17" s="752">
        <f t="shared" si="14"/>
        <v>74.515648286140092</v>
      </c>
      <c r="AG17" s="648">
        <v>2013</v>
      </c>
      <c r="AH17" s="643">
        <f t="shared" si="16"/>
        <v>2.7477549803748254</v>
      </c>
      <c r="AI17" s="643">
        <f t="shared" si="17"/>
        <v>5.0154557023881816</v>
      </c>
      <c r="AJ17" s="643">
        <f t="shared" si="18"/>
        <v>3.9819785009376858</v>
      </c>
      <c r="AK17" s="643">
        <f t="shared" si="19"/>
        <v>3.0781630970639999</v>
      </c>
      <c r="AL17" s="643">
        <f t="shared" si="20"/>
        <v>3.8433092931211328</v>
      </c>
      <c r="AM17" s="643">
        <f t="shared" si="21"/>
        <v>2.7195777497789999</v>
      </c>
      <c r="AN17" s="643">
        <f t="shared" si="22"/>
        <v>2.1794179204582957</v>
      </c>
      <c r="AO17" s="643">
        <f t="shared" si="23"/>
        <v>4.3005499536</v>
      </c>
      <c r="AP17" s="649">
        <f t="shared" si="24"/>
        <v>10.335320417287631</v>
      </c>
      <c r="AQ17" s="10"/>
      <c r="AR17" s="1074" t="str">
        <v>Residual Fuel Oil</v>
      </c>
    </row>
    <row r="18" spans="1:44" x14ac:dyDescent="0.2">
      <c r="A18" s="1070">
        <v>2014</v>
      </c>
      <c r="B18" s="670">
        <v>24.395772999999998</v>
      </c>
      <c r="C18" s="670">
        <v>33.250518999999997</v>
      </c>
      <c r="D18" s="670">
        <v>28.395009999999999</v>
      </c>
      <c r="E18" s="670">
        <v>20.819944</v>
      </c>
      <c r="F18" s="670">
        <v>27.776841999999998</v>
      </c>
      <c r="G18" s="670">
        <v>14.62518</v>
      </c>
      <c r="H18" s="670">
        <v>18.43741</v>
      </c>
      <c r="I18" s="670">
        <v>32.181133000000003</v>
      </c>
      <c r="J18" s="1424">
        <f t="shared" si="0"/>
        <v>74.515648286140092</v>
      </c>
      <c r="K18" s="648">
        <v>2014</v>
      </c>
      <c r="L18" s="643">
        <f t="shared" si="2"/>
        <v>3.3836937150999997</v>
      </c>
      <c r="M18" s="643">
        <f t="shared" si="3"/>
        <v>4.6118469852999997</v>
      </c>
      <c r="N18" s="643">
        <f t="shared" si="4"/>
        <v>3.9383878870000002</v>
      </c>
      <c r="O18" s="643">
        <f t="shared" si="5"/>
        <v>2.8877262328</v>
      </c>
      <c r="P18" s="643">
        <f t="shared" si="6"/>
        <v>3.8526479853999995</v>
      </c>
      <c r="Q18" s="643">
        <f t="shared" si="7"/>
        <v>2.028512466</v>
      </c>
      <c r="R18" s="643">
        <f t="shared" si="8"/>
        <v>2.5572687670000001</v>
      </c>
      <c r="S18" s="643">
        <f t="shared" si="9"/>
        <v>4.463523147100001</v>
      </c>
      <c r="T18" s="649">
        <f t="shared" si="10"/>
        <v>10.335320417287631</v>
      </c>
      <c r="U18" s="1664"/>
      <c r="W18" s="505">
        <v>2014</v>
      </c>
      <c r="X18" s="670">
        <f t="shared" ref="X18:X58" si="31">$X$5*B18</f>
        <v>19.107178853146856</v>
      </c>
      <c r="Y18" s="670">
        <f t="shared" si="27"/>
        <v>35.36646111818181</v>
      </c>
      <c r="Z18" s="670">
        <f t="shared" si="25"/>
        <v>27.083881703795836</v>
      </c>
      <c r="AA18" s="670">
        <f t="shared" si="28"/>
        <v>20.611744559999998</v>
      </c>
      <c r="AB18" s="670">
        <f t="shared" si="29"/>
        <v>26.519727214511619</v>
      </c>
      <c r="AC18" s="670">
        <f t="shared" si="30"/>
        <v>14.4789282</v>
      </c>
      <c r="AD18" s="670">
        <f t="shared" si="13"/>
        <v>15.957040941704035</v>
      </c>
      <c r="AE18" s="670">
        <f t="shared" si="26"/>
        <v>32.181133000000003</v>
      </c>
      <c r="AF18" s="752">
        <f t="shared" si="14"/>
        <v>74.515648286140092</v>
      </c>
      <c r="AG18" s="648">
        <v>2014</v>
      </c>
      <c r="AH18" s="643">
        <f t="shared" si="16"/>
        <v>2.6501657069314692</v>
      </c>
      <c r="AI18" s="643">
        <f t="shared" si="17"/>
        <v>4.9053281570918168</v>
      </c>
      <c r="AJ18" s="643">
        <f t="shared" si="18"/>
        <v>3.7565343923164827</v>
      </c>
      <c r="AK18" s="643">
        <f t="shared" si="19"/>
        <v>2.8588489704719997</v>
      </c>
      <c r="AL18" s="643">
        <f t="shared" si="20"/>
        <v>3.6782861646527616</v>
      </c>
      <c r="AM18" s="643">
        <f t="shared" si="21"/>
        <v>2.00822734134</v>
      </c>
      <c r="AN18" s="643">
        <f t="shared" si="22"/>
        <v>2.2132415786143493</v>
      </c>
      <c r="AO18" s="643">
        <f t="shared" si="23"/>
        <v>4.463523147100001</v>
      </c>
      <c r="AP18" s="649">
        <f t="shared" si="24"/>
        <v>10.335320417287631</v>
      </c>
      <c r="AQ18" s="10"/>
      <c r="AR18" s="1074" t="str">
        <v>CNG</v>
      </c>
    </row>
    <row r="19" spans="1:44" x14ac:dyDescent="0.2">
      <c r="A19" s="1071">
        <v>2015</v>
      </c>
      <c r="B19" s="670">
        <v>17.964410999999998</v>
      </c>
      <c r="C19" s="670">
        <v>23.267790000000002</v>
      </c>
      <c r="D19" s="670">
        <v>20.907973999999999</v>
      </c>
      <c r="E19" s="670">
        <v>11.972967000000001</v>
      </c>
      <c r="F19" s="670">
        <v>19.769112</v>
      </c>
      <c r="G19" s="670">
        <v>8.1054680000000001</v>
      </c>
      <c r="H19" s="670">
        <v>16.648273</v>
      </c>
      <c r="I19" s="670">
        <v>29.485486999999999</v>
      </c>
      <c r="J19" s="1424">
        <f>P2*K70/$M$2*10^6</f>
        <v>107.48372071696917</v>
      </c>
      <c r="K19" s="650">
        <v>2015</v>
      </c>
      <c r="L19" s="644">
        <f t="shared" si="2"/>
        <v>2.4916638057</v>
      </c>
      <c r="M19" s="644">
        <f t="shared" si="3"/>
        <v>3.2272424730000004</v>
      </c>
      <c r="N19" s="644">
        <f t="shared" si="4"/>
        <v>2.8999359937999998</v>
      </c>
      <c r="O19" s="644">
        <f t="shared" si="5"/>
        <v>1.6606505228999999</v>
      </c>
      <c r="P19" s="644">
        <f t="shared" si="6"/>
        <v>2.7419758344000003</v>
      </c>
      <c r="Q19" s="644">
        <f t="shared" si="7"/>
        <v>1.1242284116000001</v>
      </c>
      <c r="R19" s="644">
        <f t="shared" si="8"/>
        <v>2.3091154651000001</v>
      </c>
      <c r="S19" s="644">
        <f t="shared" si="9"/>
        <v>4.0896370469000001</v>
      </c>
      <c r="T19" s="651">
        <f t="shared" si="10"/>
        <v>14.907992063443624</v>
      </c>
      <c r="U19" s="1664"/>
      <c r="W19" s="506">
        <v>2015</v>
      </c>
      <c r="X19" s="670">
        <f t="shared" si="31"/>
        <v>14.070028195804197</v>
      </c>
      <c r="Y19" s="670">
        <f t="shared" si="27"/>
        <v>24.748467545454545</v>
      </c>
      <c r="Z19" s="670">
        <f t="shared" si="25"/>
        <v>19.942556614068423</v>
      </c>
      <c r="AA19" s="670">
        <f t="shared" si="28"/>
        <v>11.853237330000001</v>
      </c>
      <c r="AB19" s="670">
        <f t="shared" si="29"/>
        <v>18.874408311539817</v>
      </c>
      <c r="AC19" s="670">
        <f t="shared" si="30"/>
        <v>8.0244133200000007</v>
      </c>
      <c r="AD19" s="670">
        <f t="shared" si="13"/>
        <v>14.408595017937218</v>
      </c>
      <c r="AE19" s="670">
        <f t="shared" si="26"/>
        <v>29.485486999999999</v>
      </c>
      <c r="AF19" s="752">
        <f>$P$2*AG70/$M$2*10^6</f>
        <v>76.774086226406567</v>
      </c>
      <c r="AG19" s="650">
        <v>2015</v>
      </c>
      <c r="AH19" s="644">
        <f t="shared" si="16"/>
        <v>1.951512910758042</v>
      </c>
      <c r="AI19" s="644">
        <f t="shared" si="17"/>
        <v>3.4326124485545457</v>
      </c>
      <c r="AJ19" s="644">
        <f t="shared" si="18"/>
        <v>2.7660326023712902</v>
      </c>
      <c r="AK19" s="644">
        <f t="shared" si="19"/>
        <v>1.6440440176710001</v>
      </c>
      <c r="AL19" s="644">
        <f t="shared" si="20"/>
        <v>2.6178804328105723</v>
      </c>
      <c r="AM19" s="644">
        <f t="shared" si="21"/>
        <v>1.1129861274840001</v>
      </c>
      <c r="AN19" s="644">
        <f t="shared" si="22"/>
        <v>1.9984721289878922</v>
      </c>
      <c r="AO19" s="644">
        <f t="shared" si="23"/>
        <v>4.0896370469000001</v>
      </c>
      <c r="AP19" s="651">
        <f t="shared" si="24"/>
        <v>10.648565759602592</v>
      </c>
      <c r="AQ19" s="10"/>
      <c r="AR19" s="1074" t="str">
        <v>Electricity</v>
      </c>
    </row>
    <row r="20" spans="1:44" x14ac:dyDescent="0.2">
      <c r="A20" s="1070">
        <v>2016</v>
      </c>
      <c r="B20" s="1463">
        <v>17.741709</v>
      </c>
      <c r="C20" s="1463">
        <v>20.812339999999999</v>
      </c>
      <c r="D20" s="1463">
        <v>19.123667000000001</v>
      </c>
      <c r="E20" s="1463">
        <v>9.9809680000000007</v>
      </c>
      <c r="F20" s="1463">
        <v>17.224471999999999</v>
      </c>
      <c r="G20" s="1463">
        <v>6.2571779999999997</v>
      </c>
      <c r="H20" s="1463">
        <v>14.278964</v>
      </c>
      <c r="I20" s="1463">
        <v>28.885411999999999</v>
      </c>
      <c r="J20" s="1424">
        <f>$P$2*K71/$M$2*10^6</f>
        <v>107.48372071696917</v>
      </c>
      <c r="K20" s="648">
        <v>2016</v>
      </c>
      <c r="L20" s="643">
        <f t="shared" si="2"/>
        <v>2.4607750383</v>
      </c>
      <c r="M20" s="643">
        <f t="shared" si="3"/>
        <v>2.8866715579999997</v>
      </c>
      <c r="N20" s="643">
        <f t="shared" si="4"/>
        <v>2.6524526128999999</v>
      </c>
      <c r="O20" s="643">
        <f t="shared" si="5"/>
        <v>1.3843602616000001</v>
      </c>
      <c r="P20" s="643">
        <f t="shared" si="6"/>
        <v>2.3890342663999995</v>
      </c>
      <c r="Q20" s="643">
        <f t="shared" si="7"/>
        <v>0.86787058859999988</v>
      </c>
      <c r="R20" s="643">
        <f t="shared" si="8"/>
        <v>1.9804923068000002</v>
      </c>
      <c r="S20" s="643">
        <f t="shared" si="9"/>
        <v>4.0064066443999993</v>
      </c>
      <c r="T20" s="649">
        <f t="shared" si="10"/>
        <v>14.907992063443624</v>
      </c>
      <c r="U20" s="1664"/>
      <c r="W20" s="505">
        <v>2016</v>
      </c>
      <c r="X20" s="1463">
        <f t="shared" si="31"/>
        <v>13.895604251748255</v>
      </c>
      <c r="Y20" s="1463">
        <f t="shared" si="27"/>
        <v>22.136761636363634</v>
      </c>
      <c r="Z20" s="1463">
        <f t="shared" si="25"/>
        <v>18.240639280309612</v>
      </c>
      <c r="AA20" s="1463">
        <f t="shared" si="28"/>
        <v>9.8811583200000008</v>
      </c>
      <c r="AB20" s="1463">
        <f t="shared" si="29"/>
        <v>16.444932755638433</v>
      </c>
      <c r="AC20" s="1463">
        <f t="shared" si="30"/>
        <v>6.1946062199999998</v>
      </c>
      <c r="AD20" s="1463">
        <f t="shared" si="13"/>
        <v>12.358027139013453</v>
      </c>
      <c r="AE20" s="1463">
        <f t="shared" si="26"/>
        <v>28.885411999999999</v>
      </c>
      <c r="AF20" s="752">
        <f>$P$2*AG71/$M$2*10^6</f>
        <v>76.774086226406567</v>
      </c>
      <c r="AG20" s="648">
        <v>2016</v>
      </c>
      <c r="AH20" s="643">
        <f t="shared" si="16"/>
        <v>1.9273203097174829</v>
      </c>
      <c r="AI20" s="643">
        <f t="shared" si="17"/>
        <v>3.0703688389636361</v>
      </c>
      <c r="AJ20" s="643">
        <f t="shared" si="18"/>
        <v>2.5299766681789428</v>
      </c>
      <c r="AK20" s="643">
        <f t="shared" si="19"/>
        <v>1.3705166589840001</v>
      </c>
      <c r="AL20" s="643">
        <f t="shared" si="20"/>
        <v>2.2809121732070508</v>
      </c>
      <c r="AM20" s="643">
        <f t="shared" si="21"/>
        <v>0.85919188271399993</v>
      </c>
      <c r="AN20" s="643">
        <f t="shared" si="22"/>
        <v>1.714058364181166</v>
      </c>
      <c r="AO20" s="643">
        <f t="shared" si="23"/>
        <v>4.0064066443999993</v>
      </c>
      <c r="AP20" s="649">
        <f t="shared" si="24"/>
        <v>10.648565759602592</v>
      </c>
      <c r="AQ20" s="10"/>
      <c r="AR20" s="1074" t="str">
        <v>Hydrogen</v>
      </c>
    </row>
    <row r="21" spans="1:44" ht="13.5" thickBot="1" x14ac:dyDescent="0.25">
      <c r="A21" s="1070">
        <v>2017</v>
      </c>
      <c r="B21" s="512">
        <v>19.093874</v>
      </c>
      <c r="C21" s="512">
        <v>22.146609999999999</v>
      </c>
      <c r="D21" s="512">
        <v>21.520517000000002</v>
      </c>
      <c r="E21" s="512">
        <v>12.362413999999999</v>
      </c>
      <c r="F21" s="512">
        <v>19.586186999999999</v>
      </c>
      <c r="G21" s="512">
        <v>8.6428510000000003</v>
      </c>
      <c r="H21" s="512">
        <v>14.744268999999999</v>
      </c>
      <c r="I21" s="512">
        <v>29.101451999999998</v>
      </c>
      <c r="J21" s="1424">
        <f t="shared" ref="J21:J54" si="32">$P$2*K72/$M$2*10^6</f>
        <v>107.48372071696917</v>
      </c>
      <c r="K21" s="648">
        <v>2017</v>
      </c>
      <c r="L21" s="643">
        <f t="shared" si="2"/>
        <v>2.6483203237999997</v>
      </c>
      <c r="M21" s="643">
        <f t="shared" si="3"/>
        <v>3.0717348069999999</v>
      </c>
      <c r="N21" s="643">
        <f t="shared" si="4"/>
        <v>2.9848957079000003</v>
      </c>
      <c r="O21" s="643">
        <f t="shared" si="5"/>
        <v>1.7146668217999999</v>
      </c>
      <c r="P21" s="643">
        <f t="shared" si="6"/>
        <v>2.7166041369</v>
      </c>
      <c r="Q21" s="643">
        <f t="shared" si="7"/>
        <v>1.1987634336999999</v>
      </c>
      <c r="R21" s="643">
        <f t="shared" si="8"/>
        <v>2.0450301102999999</v>
      </c>
      <c r="S21" s="643">
        <f t="shared" si="9"/>
        <v>4.0363713923999995</v>
      </c>
      <c r="T21" s="649">
        <f t="shared" si="10"/>
        <v>14.907992063443624</v>
      </c>
      <c r="U21" s="1664"/>
      <c r="W21" s="505">
        <v>2017</v>
      </c>
      <c r="X21" s="512">
        <f t="shared" si="31"/>
        <v>14.954642573426575</v>
      </c>
      <c r="Y21" s="512">
        <f t="shared" si="27"/>
        <v>23.555939727272722</v>
      </c>
      <c r="Z21" s="512">
        <f t="shared" si="25"/>
        <v>20.526815684605403</v>
      </c>
      <c r="AA21" s="512">
        <f t="shared" si="28"/>
        <v>12.238789859999999</v>
      </c>
      <c r="AB21" s="512">
        <f t="shared" si="29"/>
        <v>18.699762068431454</v>
      </c>
      <c r="AC21" s="512">
        <f t="shared" si="30"/>
        <v>8.556422490000001</v>
      </c>
      <c r="AD21" s="512">
        <f t="shared" si="13"/>
        <v>12.760735053811658</v>
      </c>
      <c r="AE21" s="512">
        <f t="shared" si="26"/>
        <v>29.101451999999998</v>
      </c>
      <c r="AF21" s="752">
        <f t="shared" ref="AF21:AF54" si="33">$P$2*AG72/$M$2*10^6</f>
        <v>76.774086226406567</v>
      </c>
      <c r="AG21" s="648">
        <v>2017</v>
      </c>
      <c r="AH21" s="643">
        <f t="shared" si="16"/>
        <v>2.0742089249342661</v>
      </c>
      <c r="AI21" s="643">
        <f t="shared" si="17"/>
        <v>3.2672088401727266</v>
      </c>
      <c r="AJ21" s="643">
        <f t="shared" si="18"/>
        <v>2.8470693354547696</v>
      </c>
      <c r="AK21" s="643">
        <f t="shared" si="19"/>
        <v>1.6975201535819999</v>
      </c>
      <c r="AL21" s="643">
        <f t="shared" si="20"/>
        <v>2.5936569988914426</v>
      </c>
      <c r="AM21" s="643">
        <f t="shared" si="21"/>
        <v>1.1867757993630002</v>
      </c>
      <c r="AN21" s="643">
        <f t="shared" si="22"/>
        <v>1.7699139519636768</v>
      </c>
      <c r="AO21" s="643">
        <f t="shared" si="23"/>
        <v>4.0363713923999995</v>
      </c>
      <c r="AP21" s="649">
        <f t="shared" si="24"/>
        <v>10.648565759602592</v>
      </c>
      <c r="AQ21" s="10"/>
      <c r="AR21" s="1075" t="s">
        <v>235</v>
      </c>
    </row>
    <row r="22" spans="1:44" ht="13.5" thickTop="1" x14ac:dyDescent="0.2">
      <c r="A22" s="1070">
        <v>2018</v>
      </c>
      <c r="B22" s="512">
        <v>18.011908999999999</v>
      </c>
      <c r="C22" s="512">
        <v>29.232935000000001</v>
      </c>
      <c r="D22" s="512">
        <v>24.06465</v>
      </c>
      <c r="E22" s="512">
        <v>16.156372000000001</v>
      </c>
      <c r="F22" s="512">
        <v>23.159742000000001</v>
      </c>
      <c r="G22" s="512">
        <v>10.938333999999999</v>
      </c>
      <c r="H22" s="512">
        <v>14.392683999999999</v>
      </c>
      <c r="I22" s="512">
        <v>33.287472000000001</v>
      </c>
      <c r="J22" s="1424">
        <f t="shared" si="32"/>
        <v>107.48372071696917</v>
      </c>
      <c r="K22" s="648">
        <v>2018</v>
      </c>
      <c r="L22" s="643">
        <f t="shared" si="2"/>
        <v>2.4982517782999998</v>
      </c>
      <c r="M22" s="643">
        <f t="shared" si="3"/>
        <v>4.0546080845000008</v>
      </c>
      <c r="N22" s="643">
        <f t="shared" si="4"/>
        <v>3.3377669550000002</v>
      </c>
      <c r="O22" s="643">
        <f t="shared" si="5"/>
        <v>2.2408887964000002</v>
      </c>
      <c r="P22" s="643">
        <f t="shared" si="6"/>
        <v>3.2122562154000001</v>
      </c>
      <c r="Q22" s="643">
        <f t="shared" si="7"/>
        <v>1.5171469257999999</v>
      </c>
      <c r="R22" s="643">
        <f t="shared" si="8"/>
        <v>1.9962652707999997</v>
      </c>
      <c r="S22" s="643">
        <f t="shared" si="9"/>
        <v>4.6169723663999997</v>
      </c>
      <c r="T22" s="649">
        <f t="shared" si="10"/>
        <v>14.907992063443624</v>
      </c>
      <c r="U22" s="1664"/>
      <c r="W22" s="505">
        <v>2018</v>
      </c>
      <c r="X22" s="512">
        <f t="shared" si="31"/>
        <v>14.107229426573427</v>
      </c>
      <c r="Y22" s="512">
        <f t="shared" si="27"/>
        <v>31.09321268181818</v>
      </c>
      <c r="Z22" s="512">
        <f t="shared" si="25"/>
        <v>22.953474354939495</v>
      </c>
      <c r="AA22" s="512">
        <f t="shared" si="28"/>
        <v>15.994808280000001</v>
      </c>
      <c r="AB22" s="512">
        <f t="shared" si="29"/>
        <v>22.111586342265539</v>
      </c>
      <c r="AC22" s="512">
        <f t="shared" si="30"/>
        <v>10.828950659999999</v>
      </c>
      <c r="AD22" s="512">
        <f t="shared" si="13"/>
        <v>12.45644848430493</v>
      </c>
      <c r="AE22" s="512">
        <f t="shared" si="26"/>
        <v>33.287472000000001</v>
      </c>
      <c r="AF22" s="752">
        <f t="shared" si="33"/>
        <v>76.774086226406567</v>
      </c>
      <c r="AG22" s="648">
        <v>2018</v>
      </c>
      <c r="AH22" s="643">
        <f t="shared" si="16"/>
        <v>1.9566727214657342</v>
      </c>
      <c r="AI22" s="643">
        <f t="shared" si="17"/>
        <v>4.3126285989681818</v>
      </c>
      <c r="AJ22" s="643">
        <f t="shared" si="18"/>
        <v>3.1836468930301081</v>
      </c>
      <c r="AK22" s="643">
        <f t="shared" si="19"/>
        <v>2.2184799084360005</v>
      </c>
      <c r="AL22" s="643">
        <f t="shared" si="20"/>
        <v>3.0668770256722304</v>
      </c>
      <c r="AM22" s="643">
        <f t="shared" si="21"/>
        <v>1.5019754565419996</v>
      </c>
      <c r="AN22" s="643">
        <f t="shared" si="22"/>
        <v>1.7277094047730939</v>
      </c>
      <c r="AO22" s="643">
        <f t="shared" si="23"/>
        <v>4.6169723663999997</v>
      </c>
      <c r="AP22" s="649">
        <f t="shared" si="24"/>
        <v>10.648565759602592</v>
      </c>
      <c r="AQ22" s="10"/>
    </row>
    <row r="23" spans="1:44" x14ac:dyDescent="0.2">
      <c r="A23" s="1070">
        <v>2019</v>
      </c>
      <c r="B23" s="512">
        <v>18.204725</v>
      </c>
      <c r="C23" s="512">
        <v>34.052211999999997</v>
      </c>
      <c r="D23" s="512">
        <v>24.234852</v>
      </c>
      <c r="E23" s="512">
        <v>16.221107</v>
      </c>
      <c r="F23" s="512">
        <v>22.720023999999999</v>
      </c>
      <c r="G23" s="512">
        <v>11.130122</v>
      </c>
      <c r="H23" s="512">
        <v>14.124518999999999</v>
      </c>
      <c r="I23" s="512">
        <v>35.301769</v>
      </c>
      <c r="J23" s="1424">
        <f t="shared" si="32"/>
        <v>107.48372071696917</v>
      </c>
      <c r="K23" s="648">
        <v>2019</v>
      </c>
      <c r="L23" s="643">
        <f t="shared" si="2"/>
        <v>2.5249953574999999</v>
      </c>
      <c r="M23" s="643">
        <f t="shared" si="3"/>
        <v>4.7230418044000002</v>
      </c>
      <c r="N23" s="643">
        <f t="shared" si="4"/>
        <v>3.3613739724</v>
      </c>
      <c r="O23" s="643">
        <f t="shared" si="5"/>
        <v>2.2498675409</v>
      </c>
      <c r="P23" s="643">
        <f t="shared" si="6"/>
        <v>3.1512673287999999</v>
      </c>
      <c r="Q23" s="643">
        <f t="shared" si="7"/>
        <v>1.5437479214000001</v>
      </c>
      <c r="R23" s="643">
        <f t="shared" si="8"/>
        <v>1.9590707852999998</v>
      </c>
      <c r="S23" s="643">
        <f t="shared" si="9"/>
        <v>4.8963553602999994</v>
      </c>
      <c r="T23" s="649">
        <f t="shared" si="10"/>
        <v>14.907992063443624</v>
      </c>
      <c r="U23" s="1664"/>
      <c r="W23" s="505">
        <v>2019</v>
      </c>
      <c r="X23" s="512">
        <f t="shared" si="31"/>
        <v>14.258246153846155</v>
      </c>
      <c r="Y23" s="512">
        <f t="shared" si="27"/>
        <v>36.219170945454536</v>
      </c>
      <c r="Z23" s="512">
        <f t="shared" si="25"/>
        <v>23.115817345265942</v>
      </c>
      <c r="AA23" s="512">
        <f t="shared" si="28"/>
        <v>16.058895929999998</v>
      </c>
      <c r="AB23" s="512">
        <f t="shared" si="29"/>
        <v>21.691768948649997</v>
      </c>
      <c r="AC23" s="512">
        <f t="shared" si="30"/>
        <v>11.01882078</v>
      </c>
      <c r="AD23" s="512">
        <f t="shared" si="13"/>
        <v>12.224359493273541</v>
      </c>
      <c r="AE23" s="512">
        <f t="shared" si="26"/>
        <v>35.301769</v>
      </c>
      <c r="AF23" s="752">
        <f t="shared" si="33"/>
        <v>76.774086226406567</v>
      </c>
      <c r="AG23" s="648">
        <v>2019</v>
      </c>
      <c r="AH23" s="643">
        <f t="shared" si="16"/>
        <v>1.9776187415384618</v>
      </c>
      <c r="AI23" s="643">
        <f t="shared" si="17"/>
        <v>5.0235990101345438</v>
      </c>
      <c r="AJ23" s="643">
        <f t="shared" si="18"/>
        <v>3.2061638657883864</v>
      </c>
      <c r="AK23" s="643">
        <f t="shared" si="19"/>
        <v>2.227368865491</v>
      </c>
      <c r="AL23" s="643">
        <f t="shared" si="20"/>
        <v>3.0086483531777546</v>
      </c>
      <c r="AM23" s="643">
        <f t="shared" si="21"/>
        <v>1.5283104421860001</v>
      </c>
      <c r="AN23" s="643">
        <f t="shared" si="22"/>
        <v>1.6955186617170401</v>
      </c>
      <c r="AO23" s="643">
        <f t="shared" si="23"/>
        <v>4.8963553602999994</v>
      </c>
      <c r="AP23" s="649">
        <f t="shared" si="24"/>
        <v>10.648565759602592</v>
      </c>
      <c r="AQ23" s="10"/>
    </row>
    <row r="24" spans="1:44" x14ac:dyDescent="0.2">
      <c r="A24" s="1071">
        <v>2020</v>
      </c>
      <c r="B24" s="512">
        <v>18.120722000000001</v>
      </c>
      <c r="C24" s="512">
        <v>32.993298000000003</v>
      </c>
      <c r="D24" s="512">
        <v>24.960867</v>
      </c>
      <c r="E24" s="512">
        <v>17.391456999999999</v>
      </c>
      <c r="F24" s="512">
        <v>24.200548000000001</v>
      </c>
      <c r="G24" s="512">
        <v>11.747704000000001</v>
      </c>
      <c r="H24" s="512">
        <v>14.000322000000001</v>
      </c>
      <c r="I24" s="512">
        <v>35.655743000000001</v>
      </c>
      <c r="J24" s="1424">
        <f t="shared" si="32"/>
        <v>107.48372071696917</v>
      </c>
      <c r="K24" s="650">
        <v>2020</v>
      </c>
      <c r="L24" s="644">
        <f t="shared" si="2"/>
        <v>2.5133441414000002</v>
      </c>
      <c r="M24" s="644">
        <f t="shared" si="3"/>
        <v>4.5761704325999997</v>
      </c>
      <c r="N24" s="644">
        <f t="shared" si="4"/>
        <v>3.4620722529000001</v>
      </c>
      <c r="O24" s="644">
        <f t="shared" si="5"/>
        <v>2.4121950858999996</v>
      </c>
      <c r="P24" s="644">
        <f t="shared" si="6"/>
        <v>3.3566160076</v>
      </c>
      <c r="Q24" s="644">
        <f t="shared" si="7"/>
        <v>1.6294065448000001</v>
      </c>
      <c r="R24" s="644">
        <f t="shared" si="8"/>
        <v>1.9418446614</v>
      </c>
      <c r="S24" s="644">
        <f t="shared" ref="S24:S54" si="34">U24*I24*HVDiesel/10^6</f>
        <v>9.8909031081999998</v>
      </c>
      <c r="T24" s="651">
        <f t="shared" si="10"/>
        <v>14.907992063443624</v>
      </c>
      <c r="U24" s="1665">
        <f t="shared" ref="U24:U37" si="35">U25</f>
        <v>2</v>
      </c>
      <c r="W24" s="506">
        <v>2020</v>
      </c>
      <c r="X24" s="512">
        <f t="shared" si="31"/>
        <v>14.192453594405597</v>
      </c>
      <c r="Y24" s="512">
        <f t="shared" si="27"/>
        <v>35.092871509090905</v>
      </c>
      <c r="Z24" s="512">
        <f t="shared" si="25"/>
        <v>23.808308891322145</v>
      </c>
      <c r="AA24" s="512">
        <f t="shared" si="28"/>
        <v>17.217542429999998</v>
      </c>
      <c r="AB24" s="512">
        <f t="shared" si="29"/>
        <v>23.105287901399834</v>
      </c>
      <c r="AC24" s="512">
        <f t="shared" si="30"/>
        <v>11.63022696</v>
      </c>
      <c r="AD24" s="512">
        <f t="shared" si="13"/>
        <v>12.116870609865471</v>
      </c>
      <c r="AE24" s="512">
        <f t="shared" si="26"/>
        <v>35.655743000000001</v>
      </c>
      <c r="AF24" s="752">
        <f t="shared" si="33"/>
        <v>76.774086226406567</v>
      </c>
      <c r="AG24" s="650">
        <v>2020</v>
      </c>
      <c r="AH24" s="644">
        <f t="shared" si="16"/>
        <v>1.9684933135440563</v>
      </c>
      <c r="AI24" s="644">
        <f t="shared" si="17"/>
        <v>4.8673812783109085</v>
      </c>
      <c r="AJ24" s="644">
        <f t="shared" si="18"/>
        <v>3.3022124432263817</v>
      </c>
      <c r="AK24" s="644">
        <f t="shared" si="19"/>
        <v>2.3880731350410001</v>
      </c>
      <c r="AL24" s="644">
        <f t="shared" si="20"/>
        <v>3.2047034319241567</v>
      </c>
      <c r="AM24" s="644">
        <f t="shared" si="21"/>
        <v>1.613112479352</v>
      </c>
      <c r="AN24" s="644">
        <f t="shared" si="22"/>
        <v>1.6806099535883408</v>
      </c>
      <c r="AO24" s="644">
        <f t="shared" ref="AO24:AO58" si="36">U24*AE24*HVDiesel/10^6</f>
        <v>9.8909031081999998</v>
      </c>
      <c r="AP24" s="651">
        <f t="shared" si="24"/>
        <v>10.648565759602592</v>
      </c>
      <c r="AQ24" s="10"/>
    </row>
    <row r="25" spans="1:44" x14ac:dyDescent="0.2">
      <c r="A25" s="1070">
        <v>2021</v>
      </c>
      <c r="B25" s="512">
        <v>18.36891</v>
      </c>
      <c r="C25" s="512">
        <v>32.699516000000003</v>
      </c>
      <c r="D25" s="512">
        <v>25.147348000000001</v>
      </c>
      <c r="E25" s="512">
        <v>17.198521</v>
      </c>
      <c r="F25" s="512">
        <v>24.279845999999999</v>
      </c>
      <c r="G25" s="512">
        <v>11.759416</v>
      </c>
      <c r="H25" s="512">
        <v>13.208526000000001</v>
      </c>
      <c r="I25" s="512">
        <v>36.136142999999997</v>
      </c>
      <c r="J25" s="1424">
        <f t="shared" si="32"/>
        <v>107.48372071696917</v>
      </c>
      <c r="K25" s="648">
        <v>2021</v>
      </c>
      <c r="L25" s="643">
        <f t="shared" si="2"/>
        <v>2.547767817</v>
      </c>
      <c r="M25" s="643">
        <f t="shared" si="3"/>
        <v>4.5354228692000005</v>
      </c>
      <c r="N25" s="643">
        <f t="shared" si="4"/>
        <v>3.4879371676000002</v>
      </c>
      <c r="O25" s="643">
        <f t="shared" si="5"/>
        <v>2.3854348626999999</v>
      </c>
      <c r="P25" s="643">
        <f t="shared" si="6"/>
        <v>3.3676146401999998</v>
      </c>
      <c r="Q25" s="643">
        <f t="shared" si="7"/>
        <v>1.6310309992000001</v>
      </c>
      <c r="R25" s="643">
        <f t="shared" si="8"/>
        <v>1.8320225562000003</v>
      </c>
      <c r="S25" s="643">
        <f t="shared" si="34"/>
        <v>10.0241660682</v>
      </c>
      <c r="T25" s="649">
        <f t="shared" si="10"/>
        <v>14.907992063443624</v>
      </c>
      <c r="U25" s="1665">
        <f t="shared" si="35"/>
        <v>2</v>
      </c>
      <c r="W25" s="505">
        <v>2021</v>
      </c>
      <c r="X25" s="512">
        <f t="shared" si="31"/>
        <v>14.386838601398603</v>
      </c>
      <c r="Y25" s="512">
        <f t="shared" si="27"/>
        <v>34.780394290909086</v>
      </c>
      <c r="Z25" s="512">
        <f t="shared" si="25"/>
        <v>23.986179205296523</v>
      </c>
      <c r="AA25" s="512">
        <f t="shared" si="28"/>
        <v>17.026535790000001</v>
      </c>
      <c r="AB25" s="512">
        <f t="shared" si="29"/>
        <v>23.180997059721587</v>
      </c>
      <c r="AC25" s="512">
        <f t="shared" si="30"/>
        <v>11.64182184</v>
      </c>
      <c r="AD25" s="512">
        <f t="shared" si="13"/>
        <v>11.431594251121076</v>
      </c>
      <c r="AE25" s="512">
        <f t="shared" si="26"/>
        <v>36.136142999999997</v>
      </c>
      <c r="AF25" s="752">
        <f t="shared" si="33"/>
        <v>73.703122777350288</v>
      </c>
      <c r="AG25" s="648">
        <v>2021</v>
      </c>
      <c r="AH25" s="643">
        <f t="shared" si="16"/>
        <v>1.9954545140139863</v>
      </c>
      <c r="AI25" s="643">
        <f t="shared" si="17"/>
        <v>4.8240406881490898</v>
      </c>
      <c r="AJ25" s="643">
        <f t="shared" si="18"/>
        <v>3.3268830557746276</v>
      </c>
      <c r="AK25" s="643">
        <f t="shared" si="19"/>
        <v>2.3615805140730002</v>
      </c>
      <c r="AL25" s="643">
        <f t="shared" si="20"/>
        <v>3.2152042921833841</v>
      </c>
      <c r="AM25" s="643">
        <f t="shared" si="21"/>
        <v>1.6147206892079999</v>
      </c>
      <c r="AN25" s="643">
        <f t="shared" si="22"/>
        <v>1.5855621226304932</v>
      </c>
      <c r="AO25" s="643">
        <f t="shared" si="36"/>
        <v>10.0241660682</v>
      </c>
      <c r="AP25" s="649">
        <f t="shared" si="24"/>
        <v>10.222623129218485</v>
      </c>
      <c r="AQ25" s="10"/>
    </row>
    <row r="26" spans="1:44" x14ac:dyDescent="0.2">
      <c r="A26" s="1070">
        <v>2022</v>
      </c>
      <c r="B26" s="512">
        <v>18.845790999999998</v>
      </c>
      <c r="C26" s="512">
        <v>31.772414999999999</v>
      </c>
      <c r="D26" s="512">
        <v>25.215456</v>
      </c>
      <c r="E26" s="512">
        <v>16.965547999999998</v>
      </c>
      <c r="F26" s="512">
        <v>24.073951999999998</v>
      </c>
      <c r="G26" s="512">
        <v>10.426277000000001</v>
      </c>
      <c r="H26" s="512">
        <v>13.279814999999999</v>
      </c>
      <c r="I26" s="512">
        <v>36.865479000000001</v>
      </c>
      <c r="J26" s="1424">
        <f t="shared" si="32"/>
        <v>107.48372071696917</v>
      </c>
      <c r="K26" s="648">
        <v>2022</v>
      </c>
      <c r="L26" s="643">
        <f t="shared" si="2"/>
        <v>2.6139112117000001</v>
      </c>
      <c r="M26" s="643">
        <f t="shared" si="3"/>
        <v>4.4068339605000002</v>
      </c>
      <c r="N26" s="643">
        <f t="shared" si="4"/>
        <v>3.4973837472000002</v>
      </c>
      <c r="O26" s="643">
        <f t="shared" si="5"/>
        <v>2.3531215075999996</v>
      </c>
      <c r="P26" s="643">
        <f t="shared" si="6"/>
        <v>3.3390571423999997</v>
      </c>
      <c r="Q26" s="643">
        <f t="shared" si="7"/>
        <v>1.4461246199</v>
      </c>
      <c r="R26" s="643">
        <f t="shared" si="8"/>
        <v>1.8419103404999999</v>
      </c>
      <c r="S26" s="643">
        <f t="shared" si="34"/>
        <v>10.226483874600001</v>
      </c>
      <c r="T26" s="649">
        <f t="shared" si="10"/>
        <v>14.907992063443624</v>
      </c>
      <c r="U26" s="1665">
        <f t="shared" si="35"/>
        <v>2</v>
      </c>
      <c r="W26" s="505">
        <v>2022</v>
      </c>
      <c r="X26" s="512">
        <f t="shared" si="31"/>
        <v>14.760339804195805</v>
      </c>
      <c r="Y26" s="512">
        <f t="shared" si="27"/>
        <v>33.794295954545447</v>
      </c>
      <c r="Z26" s="512">
        <f t="shared" si="25"/>
        <v>24.051142345477917</v>
      </c>
      <c r="AA26" s="512">
        <f t="shared" si="28"/>
        <v>16.795892519999999</v>
      </c>
      <c r="AB26" s="512">
        <f t="shared" si="29"/>
        <v>22.984421339734965</v>
      </c>
      <c r="AC26" s="512">
        <f t="shared" si="30"/>
        <v>10.322014230000001</v>
      </c>
      <c r="AD26" s="512">
        <f t="shared" si="13"/>
        <v>11.493292802690581</v>
      </c>
      <c r="AE26" s="512">
        <f t="shared" si="26"/>
        <v>36.865479000000001</v>
      </c>
      <c r="AF26" s="752">
        <f t="shared" si="33"/>
        <v>68.328936741501849</v>
      </c>
      <c r="AG26" s="648">
        <v>2022</v>
      </c>
      <c r="AH26" s="643">
        <f t="shared" si="16"/>
        <v>2.0472591308419581</v>
      </c>
      <c r="AI26" s="643">
        <f t="shared" si="17"/>
        <v>4.6872688488954539</v>
      </c>
      <c r="AJ26" s="643">
        <f t="shared" si="18"/>
        <v>3.3358934433177874</v>
      </c>
      <c r="AK26" s="643">
        <f t="shared" si="19"/>
        <v>2.3295902925239997</v>
      </c>
      <c r="AL26" s="643">
        <f t="shared" si="20"/>
        <v>3.1879392398212398</v>
      </c>
      <c r="AM26" s="643">
        <f t="shared" si="21"/>
        <v>1.4316633737010001</v>
      </c>
      <c r="AN26" s="643">
        <f t="shared" si="22"/>
        <v>1.5941197117331836</v>
      </c>
      <c r="AO26" s="643">
        <f t="shared" si="36"/>
        <v>10.226483874600001</v>
      </c>
      <c r="AP26" s="649">
        <f t="shared" si="24"/>
        <v>9.4772235260463056</v>
      </c>
      <c r="AQ26" s="10"/>
    </row>
    <row r="27" spans="1:44" x14ac:dyDescent="0.2">
      <c r="A27" s="1070">
        <v>2023</v>
      </c>
      <c r="B27" s="512">
        <v>19.167532000000001</v>
      </c>
      <c r="C27" s="512">
        <v>31.519120999999998</v>
      </c>
      <c r="D27" s="512">
        <v>25.564999</v>
      </c>
      <c r="E27" s="512">
        <v>17.220293000000002</v>
      </c>
      <c r="F27" s="512">
        <v>24.335906999999999</v>
      </c>
      <c r="G27" s="512">
        <v>10.785151000000001</v>
      </c>
      <c r="H27" s="512">
        <v>13.273958</v>
      </c>
      <c r="I27" s="512">
        <v>37.499865999999997</v>
      </c>
      <c r="J27" s="1424">
        <f t="shared" si="32"/>
        <v>95.967607783008191</v>
      </c>
      <c r="K27" s="648">
        <v>2023</v>
      </c>
      <c r="L27" s="643">
        <f t="shared" si="2"/>
        <v>2.6585366884000003</v>
      </c>
      <c r="M27" s="643">
        <f t="shared" si="3"/>
        <v>4.3717020826999997</v>
      </c>
      <c r="N27" s="643">
        <f t="shared" si="4"/>
        <v>3.5458653613000002</v>
      </c>
      <c r="O27" s="643">
        <f t="shared" si="5"/>
        <v>2.3884546391000003</v>
      </c>
      <c r="P27" s="643">
        <f t="shared" si="6"/>
        <v>3.3753903008999995</v>
      </c>
      <c r="Q27" s="643">
        <f t="shared" si="7"/>
        <v>1.4959004437000001</v>
      </c>
      <c r="R27" s="643">
        <f t="shared" si="8"/>
        <v>1.8410979746</v>
      </c>
      <c r="S27" s="643">
        <f t="shared" si="34"/>
        <v>10.402462828399999</v>
      </c>
      <c r="T27" s="649">
        <f t="shared" si="10"/>
        <v>13.310707199503236</v>
      </c>
      <c r="U27" s="1665">
        <f t="shared" si="35"/>
        <v>2</v>
      </c>
      <c r="W27" s="505">
        <v>2023</v>
      </c>
      <c r="X27" s="512">
        <f t="shared" si="31"/>
        <v>15.012332755244758</v>
      </c>
      <c r="Y27" s="512">
        <f t="shared" si="27"/>
        <v>33.524883245454539</v>
      </c>
      <c r="Z27" s="512">
        <f t="shared" si="25"/>
        <v>24.384545336439707</v>
      </c>
      <c r="AA27" s="512">
        <f t="shared" si="28"/>
        <v>17.048090070000001</v>
      </c>
      <c r="AB27" s="512">
        <f t="shared" si="29"/>
        <v>23.234520870217132</v>
      </c>
      <c r="AC27" s="512">
        <f t="shared" si="30"/>
        <v>10.677299490000001</v>
      </c>
      <c r="AD27" s="512">
        <f t="shared" si="13"/>
        <v>11.488223739910314</v>
      </c>
      <c r="AE27" s="512">
        <f t="shared" si="26"/>
        <v>37.499865999999997</v>
      </c>
      <c r="AF27" s="752">
        <f t="shared" si="33"/>
        <v>59.116046394333054</v>
      </c>
      <c r="AG27" s="648">
        <v>2023</v>
      </c>
      <c r="AH27" s="643">
        <f t="shared" si="16"/>
        <v>2.0822105531524482</v>
      </c>
      <c r="AI27" s="643">
        <f t="shared" si="17"/>
        <v>4.6499013061445451</v>
      </c>
      <c r="AJ27" s="643">
        <f t="shared" si="18"/>
        <v>3.3821364381641876</v>
      </c>
      <c r="AK27" s="643">
        <f t="shared" si="19"/>
        <v>2.3645700927090001</v>
      </c>
      <c r="AL27" s="643">
        <f t="shared" si="20"/>
        <v>3.2226280446991162</v>
      </c>
      <c r="AM27" s="643">
        <f t="shared" si="21"/>
        <v>1.4809414392630003</v>
      </c>
      <c r="AN27" s="643">
        <f t="shared" si="22"/>
        <v>1.5934166327255606</v>
      </c>
      <c r="AO27" s="643">
        <f t="shared" si="36"/>
        <v>10.402462828399999</v>
      </c>
      <c r="AP27" s="649">
        <f t="shared" si="24"/>
        <v>8.1993956348939943</v>
      </c>
      <c r="AQ27" s="10"/>
    </row>
    <row r="28" spans="1:44" x14ac:dyDescent="0.2">
      <c r="A28" s="1070">
        <v>2024</v>
      </c>
      <c r="B28" s="512">
        <v>19.618653999999999</v>
      </c>
      <c r="C28" s="512">
        <v>29.401441999999999</v>
      </c>
      <c r="D28" s="512">
        <v>25.915911000000001</v>
      </c>
      <c r="E28" s="512">
        <v>17.500954</v>
      </c>
      <c r="F28" s="512">
        <v>24.835159000000001</v>
      </c>
      <c r="G28" s="512">
        <v>11.267358</v>
      </c>
      <c r="H28" s="512">
        <v>13.282501</v>
      </c>
      <c r="I28" s="512">
        <v>37.917560999999999</v>
      </c>
      <c r="J28" s="1424">
        <f t="shared" si="32"/>
        <v>69.096677603765912</v>
      </c>
      <c r="K28" s="648">
        <v>2024</v>
      </c>
      <c r="L28" s="643">
        <f t="shared" si="2"/>
        <v>2.7211073097999998</v>
      </c>
      <c r="M28" s="643">
        <f t="shared" si="3"/>
        <v>4.0779800053999997</v>
      </c>
      <c r="N28" s="643">
        <f t="shared" si="4"/>
        <v>3.5945368557000004</v>
      </c>
      <c r="O28" s="643">
        <f t="shared" si="5"/>
        <v>2.4273823198</v>
      </c>
      <c r="P28" s="643">
        <f t="shared" si="6"/>
        <v>3.4446365533000001</v>
      </c>
      <c r="Q28" s="643">
        <f t="shared" si="7"/>
        <v>1.5627825545999998</v>
      </c>
      <c r="R28" s="643">
        <f t="shared" si="8"/>
        <v>1.8422828887</v>
      </c>
      <c r="S28" s="643">
        <f t="shared" si="34"/>
        <v>10.518331421399999</v>
      </c>
      <c r="T28" s="649">
        <f t="shared" si="10"/>
        <v>9.5837091836423323</v>
      </c>
      <c r="U28" s="1665">
        <f t="shared" si="35"/>
        <v>2</v>
      </c>
      <c r="W28" s="505">
        <v>2024</v>
      </c>
      <c r="X28" s="512">
        <f t="shared" si="31"/>
        <v>15.365659076923079</v>
      </c>
      <c r="Y28" s="512">
        <f t="shared" si="27"/>
        <v>31.272442854545449</v>
      </c>
      <c r="Z28" s="512">
        <f t="shared" si="25"/>
        <v>24.719254114370845</v>
      </c>
      <c r="AA28" s="512">
        <f t="shared" si="28"/>
        <v>17.325944459999999</v>
      </c>
      <c r="AB28" s="512">
        <f t="shared" si="29"/>
        <v>23.711177894485743</v>
      </c>
      <c r="AC28" s="512">
        <f t="shared" si="30"/>
        <v>11.154684419999999</v>
      </c>
      <c r="AD28" s="512">
        <f t="shared" si="13"/>
        <v>11.495617457399103</v>
      </c>
      <c r="AE28" s="512">
        <f t="shared" si="26"/>
        <v>37.917560999999999</v>
      </c>
      <c r="AF28" s="752">
        <f t="shared" si="33"/>
        <v>49.903156047164266</v>
      </c>
      <c r="AG28" s="648">
        <v>2024</v>
      </c>
      <c r="AH28" s="643">
        <f t="shared" si="16"/>
        <v>2.1312169139692307</v>
      </c>
      <c r="AI28" s="643">
        <f t="shared" si="17"/>
        <v>4.3374878239254544</v>
      </c>
      <c r="AJ28" s="643">
        <f t="shared" si="18"/>
        <v>3.428560545663236</v>
      </c>
      <c r="AK28" s="643">
        <f t="shared" si="19"/>
        <v>2.4031084966019995</v>
      </c>
      <c r="AL28" s="643">
        <f t="shared" si="20"/>
        <v>3.2887403739651724</v>
      </c>
      <c r="AM28" s="643">
        <f t="shared" si="21"/>
        <v>1.5471547290539998</v>
      </c>
      <c r="AN28" s="643">
        <f t="shared" si="22"/>
        <v>1.5944421413412555</v>
      </c>
      <c r="AO28" s="643">
        <f t="shared" si="36"/>
        <v>10.518331421399999</v>
      </c>
      <c r="AP28" s="649">
        <f t="shared" si="24"/>
        <v>6.9215677437416838</v>
      </c>
      <c r="AQ28" s="10"/>
    </row>
    <row r="29" spans="1:44" s="52" customFormat="1" x14ac:dyDescent="0.2">
      <c r="A29" s="1071">
        <v>2025</v>
      </c>
      <c r="B29" s="512">
        <v>20.087505</v>
      </c>
      <c r="C29" s="512">
        <v>26.987891999999999</v>
      </c>
      <c r="D29" s="512">
        <v>26.205998999999998</v>
      </c>
      <c r="E29" s="512">
        <v>17.782360000000001</v>
      </c>
      <c r="F29" s="512">
        <v>25.221354000000002</v>
      </c>
      <c r="G29" s="512">
        <v>11.574894</v>
      </c>
      <c r="H29" s="512">
        <v>13.364941999999999</v>
      </c>
      <c r="I29" s="512">
        <v>38.429222000000003</v>
      </c>
      <c r="J29" s="1424">
        <f t="shared" si="32"/>
        <v>53.741860358484587</v>
      </c>
      <c r="K29" s="650">
        <v>2025</v>
      </c>
      <c r="L29" s="644">
        <f t="shared" si="2"/>
        <v>2.7861369434999999</v>
      </c>
      <c r="M29" s="644">
        <f t="shared" si="3"/>
        <v>3.7432206203999998</v>
      </c>
      <c r="N29" s="644">
        <f t="shared" si="4"/>
        <v>3.6347720612999996</v>
      </c>
      <c r="O29" s="644">
        <f t="shared" si="5"/>
        <v>2.4664133320000001</v>
      </c>
      <c r="P29" s="644">
        <f t="shared" si="6"/>
        <v>3.4982017998000003</v>
      </c>
      <c r="Q29" s="644">
        <f t="shared" si="7"/>
        <v>1.6054377978000001</v>
      </c>
      <c r="R29" s="644">
        <f t="shared" si="8"/>
        <v>1.8537174553999998</v>
      </c>
      <c r="S29" s="644">
        <f t="shared" si="34"/>
        <v>10.660266182800001</v>
      </c>
      <c r="T29" s="651">
        <f t="shared" si="10"/>
        <v>7.4539960317218119</v>
      </c>
      <c r="U29" s="1665">
        <f t="shared" si="35"/>
        <v>2</v>
      </c>
      <c r="V29"/>
      <c r="W29" s="506">
        <v>2025</v>
      </c>
      <c r="X29" s="512">
        <f t="shared" si="31"/>
        <v>15.732871048951052</v>
      </c>
      <c r="Y29" s="512">
        <f t="shared" si="27"/>
        <v>28.705303309090905</v>
      </c>
      <c r="Z29" s="512">
        <f t="shared" si="25"/>
        <v>24.995947416316877</v>
      </c>
      <c r="AA29" s="512">
        <f t="shared" si="28"/>
        <v>17.604536400000001</v>
      </c>
      <c r="AB29" s="512">
        <f t="shared" si="29"/>
        <v>24.079894613672479</v>
      </c>
      <c r="AC29" s="512">
        <f t="shared" si="30"/>
        <v>11.459145060000001</v>
      </c>
      <c r="AD29" s="512">
        <f t="shared" si="13"/>
        <v>11.566967739910313</v>
      </c>
      <c r="AE29" s="512">
        <f t="shared" si="26"/>
        <v>38.429222000000003</v>
      </c>
      <c r="AF29" s="752">
        <f t="shared" si="33"/>
        <v>46.064451735843932</v>
      </c>
      <c r="AG29" s="650">
        <v>2025</v>
      </c>
      <c r="AH29" s="644">
        <f t="shared" si="16"/>
        <v>2.1821492144895109</v>
      </c>
      <c r="AI29" s="644">
        <f t="shared" si="17"/>
        <v>3.9814255689709084</v>
      </c>
      <c r="AJ29" s="644">
        <f t="shared" si="18"/>
        <v>3.4669379066431509</v>
      </c>
      <c r="AK29" s="644">
        <f t="shared" si="19"/>
        <v>2.4417491986799997</v>
      </c>
      <c r="AL29" s="644">
        <f t="shared" si="20"/>
        <v>3.3398813829163729</v>
      </c>
      <c r="AM29" s="644">
        <f t="shared" si="21"/>
        <v>1.5893834198220003</v>
      </c>
      <c r="AN29" s="644">
        <f t="shared" si="22"/>
        <v>1.6043384255255604</v>
      </c>
      <c r="AO29" s="644">
        <f t="shared" si="36"/>
        <v>10.660266182800001</v>
      </c>
      <c r="AP29" s="651">
        <f t="shared" si="24"/>
        <v>6.389139455761554</v>
      </c>
      <c r="AQ29" s="10"/>
    </row>
    <row r="30" spans="1:44" x14ac:dyDescent="0.2">
      <c r="A30" s="1070">
        <v>2026</v>
      </c>
      <c r="B30" s="512">
        <v>20.440956</v>
      </c>
      <c r="C30" s="512">
        <v>26.807842000000001</v>
      </c>
      <c r="D30" s="512">
        <v>26.421569999999999</v>
      </c>
      <c r="E30" s="512">
        <v>18.167006000000001</v>
      </c>
      <c r="F30" s="512">
        <v>25.402543999999999</v>
      </c>
      <c r="G30" s="512">
        <v>11.929773000000001</v>
      </c>
      <c r="H30" s="512">
        <v>13.239671</v>
      </c>
      <c r="I30" s="512">
        <v>38.868603</v>
      </c>
      <c r="J30" s="1424">
        <f t="shared" si="32"/>
        <v>51.438637771692399</v>
      </c>
      <c r="K30" s="648">
        <v>2026</v>
      </c>
      <c r="L30" s="643">
        <f t="shared" si="2"/>
        <v>2.8351605972000002</v>
      </c>
      <c r="M30" s="643">
        <f t="shared" si="3"/>
        <v>3.7182476854000002</v>
      </c>
      <c r="N30" s="643">
        <f t="shared" si="4"/>
        <v>3.664671759</v>
      </c>
      <c r="O30" s="643">
        <f t="shared" si="5"/>
        <v>2.5197637321999999</v>
      </c>
      <c r="P30" s="643">
        <f t="shared" si="6"/>
        <v>3.5233328527999999</v>
      </c>
      <c r="Q30" s="643">
        <f t="shared" si="7"/>
        <v>1.6546595151000001</v>
      </c>
      <c r="R30" s="643">
        <f t="shared" si="8"/>
        <v>1.8363423676999999</v>
      </c>
      <c r="S30" s="643">
        <f t="shared" si="34"/>
        <v>10.782150472200001</v>
      </c>
      <c r="T30" s="649">
        <f t="shared" si="10"/>
        <v>7.1345390589337354</v>
      </c>
      <c r="U30" s="1665">
        <f t="shared" si="35"/>
        <v>2</v>
      </c>
      <c r="W30" s="505">
        <v>2026</v>
      </c>
      <c r="X30" s="512">
        <f t="shared" si="31"/>
        <v>16.009699804195808</v>
      </c>
      <c r="Y30" s="512">
        <f t="shared" si="27"/>
        <v>28.513795581818179</v>
      </c>
      <c r="Z30" s="512">
        <f t="shared" si="25"/>
        <v>25.201564511108145</v>
      </c>
      <c r="AA30" s="512">
        <f t="shared" si="28"/>
        <v>17.985335939999999</v>
      </c>
      <c r="AB30" s="512">
        <f t="shared" si="29"/>
        <v>24.25288437881559</v>
      </c>
      <c r="AC30" s="512">
        <f t="shared" si="30"/>
        <v>11.810475270000001</v>
      </c>
      <c r="AD30" s="512">
        <f t="shared" si="13"/>
        <v>11.458549340807174</v>
      </c>
      <c r="AE30" s="512">
        <f t="shared" si="26"/>
        <v>38.868603</v>
      </c>
      <c r="AF30" s="752">
        <f t="shared" si="33"/>
        <v>44.682518183768622</v>
      </c>
      <c r="AG30" s="648">
        <v>2026</v>
      </c>
      <c r="AH30" s="643">
        <f t="shared" si="16"/>
        <v>2.2205453628419587</v>
      </c>
      <c r="AI30" s="643">
        <f t="shared" si="17"/>
        <v>3.9548634471981816</v>
      </c>
      <c r="AJ30" s="643">
        <f t="shared" si="18"/>
        <v>3.4954569976907002</v>
      </c>
      <c r="AK30" s="643">
        <f t="shared" si="19"/>
        <v>2.494566094878</v>
      </c>
      <c r="AL30" s="643">
        <f t="shared" si="20"/>
        <v>3.3638750633417223</v>
      </c>
      <c r="AM30" s="643">
        <f t="shared" si="21"/>
        <v>1.6381129199490003</v>
      </c>
      <c r="AN30" s="643">
        <f t="shared" si="22"/>
        <v>1.589300793569955</v>
      </c>
      <c r="AO30" s="643">
        <f t="shared" si="36"/>
        <v>10.782150472200001</v>
      </c>
      <c r="AP30" s="649">
        <f t="shared" si="24"/>
        <v>6.1974652720887073</v>
      </c>
      <c r="AQ30" s="10"/>
    </row>
    <row r="31" spans="1:44" x14ac:dyDescent="0.2">
      <c r="A31" s="1070">
        <v>2027</v>
      </c>
      <c r="B31" s="512">
        <v>20.675909000000001</v>
      </c>
      <c r="C31" s="512">
        <v>26.192710999999999</v>
      </c>
      <c r="D31" s="512">
        <v>26.967485</v>
      </c>
      <c r="E31" s="512">
        <v>18.670538000000001</v>
      </c>
      <c r="F31" s="512">
        <v>26.099861000000001</v>
      </c>
      <c r="G31" s="512">
        <v>12.348798</v>
      </c>
      <c r="H31" s="512">
        <v>13.009452</v>
      </c>
      <c r="I31" s="512">
        <v>38.934277000000002</v>
      </c>
      <c r="J31" s="1424">
        <f t="shared" si="32"/>
        <v>49.903156047164266</v>
      </c>
      <c r="K31" s="648">
        <v>2027</v>
      </c>
      <c r="L31" s="643">
        <f t="shared" si="2"/>
        <v>2.8677485783000001</v>
      </c>
      <c r="M31" s="643">
        <f t="shared" si="3"/>
        <v>3.6329290156999998</v>
      </c>
      <c r="N31" s="643">
        <f t="shared" si="4"/>
        <v>3.7403901694999999</v>
      </c>
      <c r="O31" s="643">
        <f t="shared" si="5"/>
        <v>2.5896036206000002</v>
      </c>
      <c r="P31" s="643">
        <f t="shared" si="6"/>
        <v>3.6200507207000001</v>
      </c>
      <c r="Q31" s="643">
        <f t="shared" si="7"/>
        <v>1.7127782826</v>
      </c>
      <c r="R31" s="643">
        <f t="shared" si="8"/>
        <v>1.8044109923999998</v>
      </c>
      <c r="S31" s="643">
        <f t="shared" si="34"/>
        <v>10.8003684398</v>
      </c>
      <c r="T31" s="649">
        <f t="shared" si="10"/>
        <v>6.9215677437416838</v>
      </c>
      <c r="U31" s="1665">
        <f t="shared" si="35"/>
        <v>2</v>
      </c>
      <c r="W31" s="505">
        <v>2027</v>
      </c>
      <c r="X31" s="512">
        <f t="shared" si="31"/>
        <v>16.19371893706294</v>
      </c>
      <c r="Y31" s="512">
        <f t="shared" si="27"/>
        <v>27.859519881818176</v>
      </c>
      <c r="Z31" s="512">
        <f t="shared" si="25"/>
        <v>25.722272103052212</v>
      </c>
      <c r="AA31" s="512">
        <f t="shared" si="28"/>
        <v>18.483832620000001</v>
      </c>
      <c r="AB31" s="512">
        <f t="shared" si="29"/>
        <v>24.918642445266833</v>
      </c>
      <c r="AC31" s="512">
        <f t="shared" si="30"/>
        <v>12.22531002</v>
      </c>
      <c r="AD31" s="512">
        <f t="shared" si="13"/>
        <v>11.259301506726457</v>
      </c>
      <c r="AE31" s="512">
        <f t="shared" si="26"/>
        <v>38.934277000000002</v>
      </c>
      <c r="AF31" s="752">
        <f t="shared" si="33"/>
        <v>43.607680976598928</v>
      </c>
      <c r="AG31" s="648">
        <v>2027</v>
      </c>
      <c r="AH31" s="643">
        <f t="shared" si="16"/>
        <v>2.24606881657063</v>
      </c>
      <c r="AI31" s="643">
        <f t="shared" si="17"/>
        <v>3.8641154076081814</v>
      </c>
      <c r="AJ31" s="643">
        <f t="shared" si="18"/>
        <v>3.5676791406933419</v>
      </c>
      <c r="AK31" s="643">
        <f t="shared" si="19"/>
        <v>2.5637075843939998</v>
      </c>
      <c r="AL31" s="643">
        <f t="shared" si="20"/>
        <v>3.4562157071585098</v>
      </c>
      <c r="AM31" s="643">
        <f t="shared" si="21"/>
        <v>1.6956504997740001</v>
      </c>
      <c r="AN31" s="643">
        <f t="shared" si="22"/>
        <v>1.5616651189829596</v>
      </c>
      <c r="AO31" s="643">
        <f t="shared" si="36"/>
        <v>10.8003684398</v>
      </c>
      <c r="AP31" s="649">
        <f t="shared" si="24"/>
        <v>6.0483853514542707</v>
      </c>
      <c r="AQ31" s="10"/>
    </row>
    <row r="32" spans="1:44" x14ac:dyDescent="0.2">
      <c r="A32" s="1070">
        <v>2028</v>
      </c>
      <c r="B32" s="512">
        <v>20.838861000000001</v>
      </c>
      <c r="C32" s="512">
        <v>25.483084000000002</v>
      </c>
      <c r="D32" s="512">
        <v>27.159894999999999</v>
      </c>
      <c r="E32" s="512">
        <v>19.052686999999999</v>
      </c>
      <c r="F32" s="512">
        <v>26.332129999999999</v>
      </c>
      <c r="G32" s="512">
        <v>12.531955</v>
      </c>
      <c r="H32" s="512">
        <v>12.856463</v>
      </c>
      <c r="I32" s="512">
        <v>38.963169000000001</v>
      </c>
      <c r="J32" s="1424">
        <f t="shared" si="32"/>
        <v>47.983803891504095</v>
      </c>
      <c r="K32" s="648">
        <v>2028</v>
      </c>
      <c r="L32" s="643">
        <f t="shared" si="2"/>
        <v>2.8903500207000001</v>
      </c>
      <c r="M32" s="643">
        <f t="shared" si="3"/>
        <v>3.5345037507999999</v>
      </c>
      <c r="N32" s="643">
        <f t="shared" si="4"/>
        <v>3.7670774364999997</v>
      </c>
      <c r="O32" s="643">
        <f t="shared" si="5"/>
        <v>2.6426076868999995</v>
      </c>
      <c r="P32" s="643">
        <f t="shared" si="6"/>
        <v>3.6522664309999997</v>
      </c>
      <c r="Q32" s="643">
        <f t="shared" si="7"/>
        <v>1.7381821584999999</v>
      </c>
      <c r="R32" s="643">
        <f t="shared" si="8"/>
        <v>1.7831914180999999</v>
      </c>
      <c r="S32" s="643">
        <f t="shared" si="34"/>
        <v>10.808383080600001</v>
      </c>
      <c r="T32" s="649">
        <f t="shared" si="10"/>
        <v>6.655353599751618</v>
      </c>
      <c r="U32" s="1665">
        <f t="shared" si="35"/>
        <v>2</v>
      </c>
      <c r="W32" s="505">
        <v>2028</v>
      </c>
      <c r="X32" s="512">
        <f t="shared" si="31"/>
        <v>16.321345678321681</v>
      </c>
      <c r="Y32" s="512">
        <f t="shared" si="27"/>
        <v>27.104734799999999</v>
      </c>
      <c r="Z32" s="512">
        <f t="shared" si="25"/>
        <v>25.905797647809102</v>
      </c>
      <c r="AA32" s="512">
        <f t="shared" si="28"/>
        <v>18.862160129999999</v>
      </c>
      <c r="AB32" s="512">
        <f t="shared" si="29"/>
        <v>25.140399494552256</v>
      </c>
      <c r="AC32" s="512">
        <f t="shared" si="30"/>
        <v>12.40663545</v>
      </c>
      <c r="AD32" s="512">
        <f t="shared" si="13"/>
        <v>11.126893986547085</v>
      </c>
      <c r="AE32" s="512">
        <f t="shared" si="26"/>
        <v>38.963169000000001</v>
      </c>
      <c r="AF32" s="752">
        <f t="shared" si="33"/>
        <v>42.532843769429235</v>
      </c>
      <c r="AG32" s="648">
        <v>2028</v>
      </c>
      <c r="AH32" s="643">
        <f t="shared" si="16"/>
        <v>2.2637706455832172</v>
      </c>
      <c r="AI32" s="643">
        <f t="shared" si="17"/>
        <v>3.7594267167599997</v>
      </c>
      <c r="AJ32" s="643">
        <f t="shared" si="18"/>
        <v>3.5931341337511222</v>
      </c>
      <c r="AK32" s="643">
        <f t="shared" si="19"/>
        <v>2.616181610031</v>
      </c>
      <c r="AL32" s="643">
        <f t="shared" si="20"/>
        <v>3.4869734098943979</v>
      </c>
      <c r="AM32" s="643">
        <f t="shared" si="21"/>
        <v>1.7208003369149998</v>
      </c>
      <c r="AN32" s="643">
        <f t="shared" si="22"/>
        <v>1.5433001959340809</v>
      </c>
      <c r="AO32" s="643">
        <f t="shared" si="36"/>
        <v>10.808383080600001</v>
      </c>
      <c r="AP32" s="649">
        <f t="shared" si="24"/>
        <v>5.8993054308198349</v>
      </c>
      <c r="AQ32" s="10"/>
    </row>
    <row r="33" spans="1:43" x14ac:dyDescent="0.2">
      <c r="A33" s="1070">
        <v>2029</v>
      </c>
      <c r="B33" s="512">
        <v>21.52054</v>
      </c>
      <c r="C33" s="512">
        <v>25.746527</v>
      </c>
      <c r="D33" s="512">
        <v>27.825689000000001</v>
      </c>
      <c r="E33" s="512">
        <v>19.759250999999999</v>
      </c>
      <c r="F33" s="512">
        <v>27.170646999999999</v>
      </c>
      <c r="G33" s="512">
        <v>12.831950000000001</v>
      </c>
      <c r="H33" s="512">
        <v>13.310276999999999</v>
      </c>
      <c r="I33" s="512">
        <v>38.951664000000001</v>
      </c>
      <c r="J33" s="1424">
        <f t="shared" si="32"/>
        <v>46.448322166975963</v>
      </c>
      <c r="K33" s="648">
        <v>2029</v>
      </c>
      <c r="L33" s="643">
        <f t="shared" si="2"/>
        <v>2.984898898</v>
      </c>
      <c r="M33" s="643">
        <f t="shared" si="3"/>
        <v>3.5710432948999999</v>
      </c>
      <c r="N33" s="643">
        <f t="shared" si="4"/>
        <v>3.8594230643</v>
      </c>
      <c r="O33" s="643">
        <f t="shared" si="5"/>
        <v>2.7406081136999996</v>
      </c>
      <c r="P33" s="643">
        <f t="shared" si="6"/>
        <v>3.7685687388999995</v>
      </c>
      <c r="Q33" s="643">
        <f t="shared" si="7"/>
        <v>1.7797914650000002</v>
      </c>
      <c r="R33" s="643">
        <f t="shared" si="8"/>
        <v>1.8461354199</v>
      </c>
      <c r="S33" s="643">
        <f t="shared" si="34"/>
        <v>10.805191593600002</v>
      </c>
      <c r="T33" s="649">
        <f t="shared" si="10"/>
        <v>6.4423822845595655</v>
      </c>
      <c r="U33" s="1665">
        <f t="shared" si="35"/>
        <v>2</v>
      </c>
      <c r="W33" s="505">
        <v>2029</v>
      </c>
      <c r="X33" s="512">
        <f t="shared" si="31"/>
        <v>16.855248111888116</v>
      </c>
      <c r="Y33" s="512">
        <f t="shared" si="27"/>
        <v>27.384942354545451</v>
      </c>
      <c r="Z33" s="512">
        <f t="shared" si="25"/>
        <v>26.540848874594975</v>
      </c>
      <c r="AA33" s="512">
        <f t="shared" si="28"/>
        <v>19.561658489999999</v>
      </c>
      <c r="AB33" s="512">
        <f t="shared" si="29"/>
        <v>25.940967179846741</v>
      </c>
      <c r="AC33" s="512">
        <f t="shared" si="30"/>
        <v>12.703630500000001</v>
      </c>
      <c r="AD33" s="512">
        <f t="shared" si="13"/>
        <v>11.519656775784751</v>
      </c>
      <c r="AE33" s="512">
        <f t="shared" si="26"/>
        <v>38.951664000000001</v>
      </c>
      <c r="AF33" s="752">
        <f t="shared" si="33"/>
        <v>41.91865107961798</v>
      </c>
      <c r="AG33" s="648">
        <v>2029</v>
      </c>
      <c r="AH33" s="643">
        <f t="shared" si="16"/>
        <v>2.3378229131188815</v>
      </c>
      <c r="AI33" s="643">
        <f t="shared" si="17"/>
        <v>3.7982915045754542</v>
      </c>
      <c r="AJ33" s="643">
        <f t="shared" si="18"/>
        <v>3.6812157389063231</v>
      </c>
      <c r="AK33" s="643">
        <f t="shared" si="19"/>
        <v>2.7132020325630002</v>
      </c>
      <c r="AL33" s="643">
        <f t="shared" si="20"/>
        <v>3.5980121478447429</v>
      </c>
      <c r="AM33" s="643">
        <f t="shared" si="21"/>
        <v>1.7619935503500002</v>
      </c>
      <c r="AN33" s="643">
        <f t="shared" si="22"/>
        <v>1.597776394801345</v>
      </c>
      <c r="AO33" s="643">
        <f t="shared" si="36"/>
        <v>10.805191593600002</v>
      </c>
      <c r="AP33" s="649">
        <f t="shared" si="24"/>
        <v>5.8141169047430141</v>
      </c>
      <c r="AQ33" s="10"/>
    </row>
    <row r="34" spans="1:43" x14ac:dyDescent="0.2">
      <c r="A34" s="1071">
        <v>2030</v>
      </c>
      <c r="B34" s="512">
        <v>21.555557</v>
      </c>
      <c r="C34" s="512">
        <v>24.796619</v>
      </c>
      <c r="D34" s="512">
        <v>27.940798000000001</v>
      </c>
      <c r="E34" s="512">
        <v>19.880825000000002</v>
      </c>
      <c r="F34" s="512">
        <v>27.382055000000001</v>
      </c>
      <c r="G34" s="512">
        <v>13.384979</v>
      </c>
      <c r="H34" s="512">
        <v>13.111701999999999</v>
      </c>
      <c r="I34" s="512">
        <v>38.994388999999998</v>
      </c>
      <c r="J34" s="1424">
        <f t="shared" si="32"/>
        <v>45.450259046032684</v>
      </c>
      <c r="K34" s="650">
        <v>2030</v>
      </c>
      <c r="L34" s="644">
        <f t="shared" si="2"/>
        <v>2.9897557559000001</v>
      </c>
      <c r="M34" s="644">
        <f t="shared" si="3"/>
        <v>3.4392910553</v>
      </c>
      <c r="N34" s="644">
        <f t="shared" si="4"/>
        <v>3.8753886826000001</v>
      </c>
      <c r="O34" s="644">
        <f t="shared" si="5"/>
        <v>2.7574704275000004</v>
      </c>
      <c r="P34" s="644">
        <f t="shared" si="6"/>
        <v>3.7978910285</v>
      </c>
      <c r="Q34" s="644">
        <f t="shared" si="7"/>
        <v>1.8564965873000001</v>
      </c>
      <c r="R34" s="644">
        <f t="shared" si="8"/>
        <v>1.8185930673999999</v>
      </c>
      <c r="S34" s="644">
        <f t="shared" si="34"/>
        <v>10.817043508599999</v>
      </c>
      <c r="T34" s="651">
        <f t="shared" si="10"/>
        <v>6.3039509296847331</v>
      </c>
      <c r="U34" s="1665">
        <f t="shared" si="35"/>
        <v>2</v>
      </c>
      <c r="W34" s="506">
        <v>2030</v>
      </c>
      <c r="X34" s="512">
        <f t="shared" si="31"/>
        <v>16.882674013986016</v>
      </c>
      <c r="Y34" s="512">
        <f t="shared" si="27"/>
        <v>26.37458566363636</v>
      </c>
      <c r="Z34" s="512">
        <f t="shared" si="25"/>
        <v>26.650642762290108</v>
      </c>
      <c r="AA34" s="512">
        <f t="shared" si="28"/>
        <v>19.682016750000003</v>
      </c>
      <c r="AB34" s="512">
        <f t="shared" si="29"/>
        <v>26.14280734911312</v>
      </c>
      <c r="AC34" s="512">
        <f t="shared" si="30"/>
        <v>13.25112921</v>
      </c>
      <c r="AD34" s="512">
        <f t="shared" si="13"/>
        <v>11.34779590134529</v>
      </c>
      <c r="AE34" s="512">
        <f t="shared" si="26"/>
        <v>38.994388999999998</v>
      </c>
      <c r="AF34" s="752">
        <f t="shared" si="33"/>
        <v>41.304458389806726</v>
      </c>
      <c r="AG34" s="650">
        <v>2030</v>
      </c>
      <c r="AH34" s="644">
        <f t="shared" si="16"/>
        <v>2.3416268857398608</v>
      </c>
      <c r="AI34" s="644">
        <f t="shared" si="17"/>
        <v>3.6581550315463631</v>
      </c>
      <c r="AJ34" s="644">
        <f t="shared" si="18"/>
        <v>3.6964441511296378</v>
      </c>
      <c r="AK34" s="644">
        <f t="shared" si="19"/>
        <v>2.7298957232250003</v>
      </c>
      <c r="AL34" s="644">
        <f t="shared" si="20"/>
        <v>3.6260073793219898</v>
      </c>
      <c r="AM34" s="644">
        <f t="shared" si="21"/>
        <v>1.8379316214270001</v>
      </c>
      <c r="AN34" s="644">
        <f t="shared" si="22"/>
        <v>1.5739392915165915</v>
      </c>
      <c r="AO34" s="644">
        <f t="shared" si="36"/>
        <v>10.817043508599999</v>
      </c>
      <c r="AP34" s="651">
        <f t="shared" si="24"/>
        <v>5.7289283786661933</v>
      </c>
      <c r="AQ34" s="10"/>
    </row>
    <row r="35" spans="1:43" x14ac:dyDescent="0.2">
      <c r="A35" s="1070">
        <v>2031</v>
      </c>
      <c r="B35" s="512">
        <v>21.671859999999999</v>
      </c>
      <c r="C35" s="512">
        <v>24.859034000000001</v>
      </c>
      <c r="D35" s="512">
        <v>28.244510999999999</v>
      </c>
      <c r="E35" s="512">
        <v>20.144784999999999</v>
      </c>
      <c r="F35" s="512">
        <v>27.67717</v>
      </c>
      <c r="G35" s="512">
        <v>13.537853</v>
      </c>
      <c r="H35" s="512">
        <v>13.016131</v>
      </c>
      <c r="I35" s="512">
        <v>38.99868</v>
      </c>
      <c r="J35" s="1424">
        <f t="shared" si="32"/>
        <v>44.145099580183775</v>
      </c>
      <c r="K35" s="648">
        <v>2031</v>
      </c>
      <c r="L35" s="643">
        <f t="shared" si="2"/>
        <v>3.0058869819999998</v>
      </c>
      <c r="M35" s="643">
        <f t="shared" si="3"/>
        <v>3.4479480158000002</v>
      </c>
      <c r="N35" s="643">
        <f t="shared" si="4"/>
        <v>3.9175136757</v>
      </c>
      <c r="O35" s="643">
        <f t="shared" si="5"/>
        <v>2.7940816794999996</v>
      </c>
      <c r="P35" s="643">
        <f t="shared" si="6"/>
        <v>3.8388234789999998</v>
      </c>
      <c r="Q35" s="643">
        <f t="shared" si="7"/>
        <v>1.8777002110999998</v>
      </c>
      <c r="R35" s="643">
        <f t="shared" si="8"/>
        <v>1.8053373696999999</v>
      </c>
      <c r="S35" s="643">
        <f t="shared" si="34"/>
        <v>10.818233832000001</v>
      </c>
      <c r="T35" s="649">
        <f t="shared" si="10"/>
        <v>6.1229253117714899</v>
      </c>
      <c r="U35" s="1665">
        <f t="shared" si="35"/>
        <v>2</v>
      </c>
      <c r="W35" s="505">
        <v>2031</v>
      </c>
      <c r="X35" s="512">
        <f t="shared" si="31"/>
        <v>16.973764475524476</v>
      </c>
      <c r="Y35" s="512">
        <f t="shared" si="27"/>
        <v>26.440972527272724</v>
      </c>
      <c r="Z35" s="512">
        <f t="shared" si="25"/>
        <v>26.940331935278774</v>
      </c>
      <c r="AA35" s="512">
        <f t="shared" si="28"/>
        <v>19.943337149999998</v>
      </c>
      <c r="AB35" s="512">
        <f t="shared" si="29"/>
        <v>26.424566135691904</v>
      </c>
      <c r="AC35" s="512">
        <f t="shared" si="30"/>
        <v>13.40247447</v>
      </c>
      <c r="AD35" s="512">
        <f t="shared" si="13"/>
        <v>11.265081986547084</v>
      </c>
      <c r="AE35" s="512">
        <f t="shared" si="26"/>
        <v>38.99868</v>
      </c>
      <c r="AF35" s="752">
        <f t="shared" si="33"/>
        <v>40.690265699995479</v>
      </c>
      <c r="AG35" s="648">
        <v>2031</v>
      </c>
      <c r="AH35" s="643">
        <f t="shared" si="16"/>
        <v>2.3542611327552447</v>
      </c>
      <c r="AI35" s="643">
        <f t="shared" si="17"/>
        <v>3.6673628895327268</v>
      </c>
      <c r="AJ35" s="643">
        <f t="shared" si="18"/>
        <v>3.736624039423166</v>
      </c>
      <c r="AK35" s="643">
        <f t="shared" si="19"/>
        <v>2.7661408627049999</v>
      </c>
      <c r="AL35" s="643">
        <f t="shared" si="20"/>
        <v>3.665087323020467</v>
      </c>
      <c r="AM35" s="643">
        <f t="shared" si="21"/>
        <v>1.858923208989</v>
      </c>
      <c r="AN35" s="643">
        <f t="shared" si="22"/>
        <v>1.5624668715340808</v>
      </c>
      <c r="AO35" s="643">
        <f t="shared" si="36"/>
        <v>10.818233832000001</v>
      </c>
      <c r="AP35" s="649">
        <f t="shared" si="24"/>
        <v>5.6437398525893725</v>
      </c>
      <c r="AQ35" s="10"/>
    </row>
    <row r="36" spans="1:43" x14ac:dyDescent="0.2">
      <c r="A36" s="1070">
        <v>2032</v>
      </c>
      <c r="B36" s="512">
        <v>21.807725999999999</v>
      </c>
      <c r="C36" s="512">
        <v>24.914490000000001</v>
      </c>
      <c r="D36" s="512">
        <v>28.481456999999999</v>
      </c>
      <c r="E36" s="512">
        <v>20.545508999999999</v>
      </c>
      <c r="F36" s="512">
        <v>27.993576000000001</v>
      </c>
      <c r="G36" s="512">
        <v>13.660610999999999</v>
      </c>
      <c r="H36" s="512">
        <v>12.979464999999999</v>
      </c>
      <c r="I36" s="512">
        <v>39.170242000000002</v>
      </c>
      <c r="J36" s="1424">
        <f t="shared" si="32"/>
        <v>42.609617855655642</v>
      </c>
      <c r="K36" s="648">
        <v>2032</v>
      </c>
      <c r="L36" s="643">
        <f t="shared" si="2"/>
        <v>3.0247315962000001</v>
      </c>
      <c r="M36" s="643">
        <f t="shared" si="3"/>
        <v>3.4556397630000002</v>
      </c>
      <c r="N36" s="643">
        <f t="shared" si="4"/>
        <v>3.9503780858999997</v>
      </c>
      <c r="O36" s="643">
        <f t="shared" si="5"/>
        <v>2.8496620982999996</v>
      </c>
      <c r="P36" s="643">
        <f t="shared" si="6"/>
        <v>3.8827089911999999</v>
      </c>
      <c r="Q36" s="643">
        <f t="shared" si="7"/>
        <v>1.8947267456999999</v>
      </c>
      <c r="R36" s="643">
        <f t="shared" si="8"/>
        <v>1.8002517954999999</v>
      </c>
      <c r="S36" s="643">
        <f t="shared" si="34"/>
        <v>10.865825130800001</v>
      </c>
      <c r="T36" s="649">
        <f t="shared" si="10"/>
        <v>5.9099539965794374</v>
      </c>
      <c r="U36" s="1665">
        <f t="shared" si="35"/>
        <v>2</v>
      </c>
      <c r="W36" s="505">
        <v>2032</v>
      </c>
      <c r="X36" s="512">
        <f t="shared" si="31"/>
        <v>17.080177006993008</v>
      </c>
      <c r="Y36" s="512">
        <f t="shared" si="27"/>
        <v>26.499957545454542</v>
      </c>
      <c r="Z36" s="512">
        <f t="shared" si="25"/>
        <v>27.166337047944261</v>
      </c>
      <c r="AA36" s="512">
        <f t="shared" si="28"/>
        <v>20.340053909999998</v>
      </c>
      <c r="AB36" s="512">
        <f t="shared" si="29"/>
        <v>26.726652341497257</v>
      </c>
      <c r="AC36" s="512">
        <f t="shared" si="30"/>
        <v>13.524004889999999</v>
      </c>
      <c r="AD36" s="512">
        <f t="shared" si="13"/>
        <v>11.233348632286994</v>
      </c>
      <c r="AE36" s="512">
        <f t="shared" si="26"/>
        <v>39.170242000000002</v>
      </c>
      <c r="AF36" s="752">
        <f t="shared" si="33"/>
        <v>40.076073010184224</v>
      </c>
      <c r="AG36" s="648">
        <v>2032</v>
      </c>
      <c r="AH36" s="643">
        <f t="shared" si="16"/>
        <v>2.36902055086993</v>
      </c>
      <c r="AI36" s="643">
        <f t="shared" si="17"/>
        <v>3.6755441115545451</v>
      </c>
      <c r="AJ36" s="643">
        <f t="shared" si="18"/>
        <v>3.7679709485498689</v>
      </c>
      <c r="AK36" s="643">
        <f t="shared" si="19"/>
        <v>2.8211654773169998</v>
      </c>
      <c r="AL36" s="643">
        <f t="shared" si="20"/>
        <v>3.7069866797656696</v>
      </c>
      <c r="AM36" s="643">
        <f t="shared" si="21"/>
        <v>1.875779478243</v>
      </c>
      <c r="AN36" s="643">
        <f t="shared" si="22"/>
        <v>1.5580654552982061</v>
      </c>
      <c r="AO36" s="643">
        <f t="shared" si="36"/>
        <v>10.865825130800001</v>
      </c>
      <c r="AP36" s="649">
        <f t="shared" si="24"/>
        <v>5.5585513265125517</v>
      </c>
      <c r="AQ36" s="10"/>
    </row>
    <row r="37" spans="1:43" x14ac:dyDescent="0.2">
      <c r="A37" s="1070">
        <v>2033</v>
      </c>
      <c r="B37" s="512">
        <v>21.969311000000001</v>
      </c>
      <c r="C37" s="512">
        <v>24.666086</v>
      </c>
      <c r="D37" s="512">
        <v>28.597303</v>
      </c>
      <c r="E37" s="512">
        <v>20.768360000000001</v>
      </c>
      <c r="F37" s="512">
        <v>28.269873</v>
      </c>
      <c r="G37" s="512">
        <v>13.825775999999999</v>
      </c>
      <c r="H37" s="512">
        <v>12.903319</v>
      </c>
      <c r="I37" s="512">
        <v>39.252037000000001</v>
      </c>
      <c r="J37" s="1424">
        <f t="shared" si="32"/>
        <v>41.150910217353918</v>
      </c>
      <c r="K37" s="648">
        <v>2033</v>
      </c>
      <c r="L37" s="643">
        <f t="shared" si="2"/>
        <v>3.0471434357000002</v>
      </c>
      <c r="M37" s="643">
        <f t="shared" si="3"/>
        <v>3.4211861282</v>
      </c>
      <c r="N37" s="643">
        <f t="shared" si="4"/>
        <v>3.9664459261</v>
      </c>
      <c r="O37" s="643">
        <f t="shared" si="5"/>
        <v>2.8805715320000003</v>
      </c>
      <c r="P37" s="643">
        <f t="shared" si="6"/>
        <v>3.9210313851</v>
      </c>
      <c r="Q37" s="643">
        <f t="shared" si="7"/>
        <v>1.9176351312</v>
      </c>
      <c r="R37" s="643">
        <f t="shared" si="8"/>
        <v>1.7896903452999999</v>
      </c>
      <c r="S37" s="643">
        <f t="shared" si="34"/>
        <v>10.8885150638</v>
      </c>
      <c r="T37" s="649">
        <f t="shared" si="10"/>
        <v>5.7076312471469883</v>
      </c>
      <c r="U37" s="1665">
        <f t="shared" si="35"/>
        <v>2</v>
      </c>
      <c r="W37" s="505">
        <v>2033</v>
      </c>
      <c r="X37" s="512">
        <f t="shared" si="31"/>
        <v>17.206733090909093</v>
      </c>
      <c r="Y37" s="512">
        <f t="shared" si="27"/>
        <v>26.235746018181814</v>
      </c>
      <c r="Z37" s="512">
        <f t="shared" si="25"/>
        <v>27.276833904957446</v>
      </c>
      <c r="AA37" s="512">
        <f t="shared" si="28"/>
        <v>20.560676400000002</v>
      </c>
      <c r="AB37" s="512">
        <f t="shared" si="29"/>
        <v>26.990444786663915</v>
      </c>
      <c r="AC37" s="512">
        <f t="shared" si="30"/>
        <v>13.687518239999999</v>
      </c>
      <c r="AD37" s="512">
        <f t="shared" si="13"/>
        <v>11.167446488789237</v>
      </c>
      <c r="AE37" s="512">
        <f t="shared" si="26"/>
        <v>39.252037000000001</v>
      </c>
      <c r="AF37" s="752">
        <f t="shared" si="33"/>
        <v>39.46188032037297</v>
      </c>
      <c r="AG37" s="648">
        <v>2033</v>
      </c>
      <c r="AH37" s="643">
        <f t="shared" si="16"/>
        <v>2.3865738797090912</v>
      </c>
      <c r="AI37" s="643">
        <f t="shared" si="17"/>
        <v>3.6388979727218174</v>
      </c>
      <c r="AJ37" s="643">
        <f t="shared" si="18"/>
        <v>3.7832968626175978</v>
      </c>
      <c r="AK37" s="643">
        <f t="shared" si="19"/>
        <v>2.85176581668</v>
      </c>
      <c r="AL37" s="643">
        <f t="shared" si="20"/>
        <v>3.7435746919102852</v>
      </c>
      <c r="AM37" s="643">
        <f t="shared" si="21"/>
        <v>1.8984587798879999</v>
      </c>
      <c r="AN37" s="643">
        <f t="shared" si="22"/>
        <v>1.5489248279950671</v>
      </c>
      <c r="AO37" s="643">
        <f t="shared" si="36"/>
        <v>10.8885150638</v>
      </c>
      <c r="AP37" s="649">
        <f t="shared" si="24"/>
        <v>5.4733628004357309</v>
      </c>
      <c r="AQ37" s="10"/>
    </row>
    <row r="38" spans="1:43" x14ac:dyDescent="0.2">
      <c r="A38" s="1070">
        <v>2034</v>
      </c>
      <c r="B38" s="512">
        <v>22.115055000000002</v>
      </c>
      <c r="C38" s="512">
        <v>24.325018</v>
      </c>
      <c r="D38" s="512">
        <v>28.805796000000001</v>
      </c>
      <c r="E38" s="512">
        <v>20.927616</v>
      </c>
      <c r="F38" s="512">
        <v>28.361291999999999</v>
      </c>
      <c r="G38" s="512">
        <v>14.468102999999999</v>
      </c>
      <c r="H38" s="512">
        <v>12.829945</v>
      </c>
      <c r="I38" s="512">
        <v>39.125346999999998</v>
      </c>
      <c r="J38" s="1424">
        <f t="shared" si="32"/>
        <v>39.692202579052193</v>
      </c>
      <c r="K38" s="648">
        <v>2034</v>
      </c>
      <c r="L38" s="643">
        <f t="shared" si="2"/>
        <v>3.0673581285</v>
      </c>
      <c r="M38" s="643">
        <f t="shared" si="3"/>
        <v>3.3738799966000004</v>
      </c>
      <c r="N38" s="643">
        <f t="shared" si="4"/>
        <v>3.9953639052000001</v>
      </c>
      <c r="O38" s="643">
        <f t="shared" si="5"/>
        <v>2.9026603392000001</v>
      </c>
      <c r="P38" s="643">
        <f t="shared" si="6"/>
        <v>3.9337112003999999</v>
      </c>
      <c r="Q38" s="643">
        <f t="shared" si="7"/>
        <v>2.0067258860999999</v>
      </c>
      <c r="R38" s="643">
        <f t="shared" si="8"/>
        <v>1.7795133715000002</v>
      </c>
      <c r="S38" s="643">
        <f t="shared" si="34"/>
        <v>10.853371257799999</v>
      </c>
      <c r="T38" s="649">
        <f t="shared" si="10"/>
        <v>5.5053084977145392</v>
      </c>
      <c r="U38" s="1665">
        <f>U39</f>
        <v>2</v>
      </c>
      <c r="W38" s="505">
        <v>2034</v>
      </c>
      <c r="X38" s="512">
        <f t="shared" si="31"/>
        <v>17.320882237762241</v>
      </c>
      <c r="Y38" s="512">
        <f t="shared" si="27"/>
        <v>25.872973690909088</v>
      </c>
      <c r="Z38" s="512">
        <f t="shared" si="25"/>
        <v>27.475699823584328</v>
      </c>
      <c r="AA38" s="512">
        <f t="shared" si="28"/>
        <v>20.718339839999999</v>
      </c>
      <c r="AB38" s="512">
        <f t="shared" si="29"/>
        <v>27.077726376926169</v>
      </c>
      <c r="AC38" s="512">
        <f t="shared" si="30"/>
        <v>14.323421969999998</v>
      </c>
      <c r="AD38" s="512">
        <f t="shared" si="13"/>
        <v>11.103943430493274</v>
      </c>
      <c r="AE38" s="512">
        <f t="shared" si="26"/>
        <v>39.125346999999998</v>
      </c>
      <c r="AF38" s="752">
        <f t="shared" si="33"/>
        <v>38.92446171678813</v>
      </c>
      <c r="AG38" s="648">
        <v>2034</v>
      </c>
      <c r="AH38" s="643">
        <f t="shared" si="16"/>
        <v>2.4024063663776229</v>
      </c>
      <c r="AI38" s="643">
        <f t="shared" si="17"/>
        <v>3.5885814509290905</v>
      </c>
      <c r="AJ38" s="643">
        <f t="shared" si="18"/>
        <v>3.8108795655311463</v>
      </c>
      <c r="AK38" s="643">
        <f t="shared" si="19"/>
        <v>2.8736337358080002</v>
      </c>
      <c r="AL38" s="643">
        <f t="shared" si="20"/>
        <v>3.7556806484796597</v>
      </c>
      <c r="AM38" s="643">
        <f t="shared" si="21"/>
        <v>1.9866586272389999</v>
      </c>
      <c r="AN38" s="643">
        <f t="shared" si="22"/>
        <v>1.540116953809417</v>
      </c>
      <c r="AO38" s="643">
        <f t="shared" si="36"/>
        <v>10.853371257799999</v>
      </c>
      <c r="AP38" s="649">
        <f t="shared" si="24"/>
        <v>5.3988228401185134</v>
      </c>
      <c r="AQ38" s="10"/>
    </row>
    <row r="39" spans="1:43" x14ac:dyDescent="0.2">
      <c r="A39" s="1071">
        <v>2035</v>
      </c>
      <c r="B39" s="512">
        <v>22.233149000000001</v>
      </c>
      <c r="C39" s="512">
        <v>24.332386</v>
      </c>
      <c r="D39" s="512">
        <v>28.990618000000001</v>
      </c>
      <c r="E39" s="512">
        <v>21.206121</v>
      </c>
      <c r="F39" s="512">
        <v>28.632473000000001</v>
      </c>
      <c r="G39" s="512">
        <v>14.792304</v>
      </c>
      <c r="H39" s="512">
        <v>12.770699</v>
      </c>
      <c r="I39" s="512">
        <v>38.958587999999999</v>
      </c>
      <c r="J39" s="1424">
        <f t="shared" si="32"/>
        <v>38.387043113203283</v>
      </c>
      <c r="K39" s="650">
        <v>2035</v>
      </c>
      <c r="L39" s="644">
        <f t="shared" si="2"/>
        <v>3.0837377663000001</v>
      </c>
      <c r="M39" s="644">
        <f t="shared" si="3"/>
        <v>3.3749019381999998</v>
      </c>
      <c r="N39" s="644">
        <f t="shared" si="4"/>
        <v>4.0209987166000003</v>
      </c>
      <c r="O39" s="644">
        <f t="shared" si="5"/>
        <v>2.9412889827000002</v>
      </c>
      <c r="P39" s="644">
        <f t="shared" si="6"/>
        <v>3.9713240051000001</v>
      </c>
      <c r="Q39" s="644">
        <f t="shared" si="7"/>
        <v>2.0516925648000002</v>
      </c>
      <c r="R39" s="644">
        <f t="shared" si="8"/>
        <v>1.7712959513000002</v>
      </c>
      <c r="S39" s="644">
        <f t="shared" si="34"/>
        <v>10.807112311200001</v>
      </c>
      <c r="T39" s="651">
        <f t="shared" si="10"/>
        <v>5.324282879801296</v>
      </c>
      <c r="U39" s="1666">
        <f>'S-curves'!AN24</f>
        <v>2</v>
      </c>
      <c r="W39" s="506">
        <v>2035</v>
      </c>
      <c r="X39" s="512">
        <f t="shared" si="31"/>
        <v>17.413375440559445</v>
      </c>
      <c r="Y39" s="512">
        <f t="shared" si="27"/>
        <v>25.880810563636359</v>
      </c>
      <c r="Z39" s="512">
        <f t="shared" si="25"/>
        <v>27.651987741224048</v>
      </c>
      <c r="AA39" s="512">
        <f t="shared" si="28"/>
        <v>20.994059789999998</v>
      </c>
      <c r="AB39" s="512">
        <f t="shared" si="29"/>
        <v>27.33663436026562</v>
      </c>
      <c r="AC39" s="512">
        <f t="shared" si="30"/>
        <v>14.644380959999999</v>
      </c>
      <c r="AD39" s="512">
        <f t="shared" si="13"/>
        <v>11.052667744394618</v>
      </c>
      <c r="AE39" s="512">
        <f t="shared" si="26"/>
        <v>38.958587999999999</v>
      </c>
      <c r="AF39" s="752">
        <f t="shared" si="33"/>
        <v>38.387043113203283</v>
      </c>
      <c r="AG39" s="650">
        <v>2035</v>
      </c>
      <c r="AH39" s="644">
        <f t="shared" si="16"/>
        <v>2.4152351736055953</v>
      </c>
      <c r="AI39" s="644">
        <f t="shared" si="17"/>
        <v>3.5896684251763631</v>
      </c>
      <c r="AJ39" s="644">
        <f t="shared" si="18"/>
        <v>3.8353306997077752</v>
      </c>
      <c r="AK39" s="644">
        <f t="shared" si="19"/>
        <v>2.9118760928729994</v>
      </c>
      <c r="AL39" s="644">
        <f t="shared" si="20"/>
        <v>3.7915911857688411</v>
      </c>
      <c r="AM39" s="644">
        <f t="shared" si="21"/>
        <v>2.0311756391519999</v>
      </c>
      <c r="AN39" s="644">
        <f t="shared" si="22"/>
        <v>1.5330050161475337</v>
      </c>
      <c r="AO39" s="644">
        <f t="shared" si="36"/>
        <v>10.807112311200001</v>
      </c>
      <c r="AP39" s="651">
        <f t="shared" si="24"/>
        <v>5.324282879801296</v>
      </c>
      <c r="AQ39" s="10"/>
    </row>
    <row r="40" spans="1:43" x14ac:dyDescent="0.2">
      <c r="A40" s="1070">
        <v>2036</v>
      </c>
      <c r="B40" s="512">
        <v>22.367972999999999</v>
      </c>
      <c r="C40" s="512">
        <v>24.364547999999999</v>
      </c>
      <c r="D40" s="512">
        <v>29.231501000000002</v>
      </c>
      <c r="E40" s="512">
        <v>21.536283000000001</v>
      </c>
      <c r="F40" s="512">
        <v>28.963840000000001</v>
      </c>
      <c r="G40" s="512">
        <v>14.941297</v>
      </c>
      <c r="H40" s="512">
        <v>12.741168999999999</v>
      </c>
      <c r="I40" s="512">
        <v>38.886947999999997</v>
      </c>
      <c r="J40" s="1424">
        <f t="shared" si="32"/>
        <v>37.235431819807175</v>
      </c>
      <c r="K40" s="648">
        <v>2036</v>
      </c>
      <c r="L40" s="643">
        <f t="shared" si="2"/>
        <v>3.1024378550999998</v>
      </c>
      <c r="M40" s="643">
        <f t="shared" si="3"/>
        <v>3.3793628075999997</v>
      </c>
      <c r="N40" s="643">
        <f t="shared" si="4"/>
        <v>4.0544091887000002</v>
      </c>
      <c r="O40" s="643">
        <f t="shared" si="5"/>
        <v>2.9870824521000006</v>
      </c>
      <c r="P40" s="643">
        <f t="shared" si="6"/>
        <v>4.0172846079999998</v>
      </c>
      <c r="Q40" s="643">
        <f t="shared" si="7"/>
        <v>2.0723578939</v>
      </c>
      <c r="R40" s="643">
        <f t="shared" si="8"/>
        <v>1.7672001402999999</v>
      </c>
      <c r="S40" s="643">
        <f t="shared" si="34"/>
        <v>10.786417365038121</v>
      </c>
      <c r="T40" s="649">
        <f t="shared" si="10"/>
        <v>5.1645543934072551</v>
      </c>
      <c r="U40" s="1666">
        <f>'S-curves'!AN25</f>
        <v>1.9998475958244206</v>
      </c>
      <c r="W40" s="505">
        <v>2036</v>
      </c>
      <c r="X40" s="512">
        <f t="shared" si="31"/>
        <v>17.518971860139864</v>
      </c>
      <c r="Y40" s="512">
        <f t="shared" si="27"/>
        <v>25.915019236363634</v>
      </c>
      <c r="Z40" s="512">
        <f t="shared" si="25"/>
        <v>27.881748064479982</v>
      </c>
      <c r="AA40" s="512">
        <f t="shared" si="28"/>
        <v>21.320920170000001</v>
      </c>
      <c r="AB40" s="512">
        <f t="shared" si="29"/>
        <v>27.653004466265831</v>
      </c>
      <c r="AC40" s="512">
        <f t="shared" si="30"/>
        <v>14.79188403</v>
      </c>
      <c r="AD40" s="512">
        <f t="shared" si="13"/>
        <v>11.027110390134528</v>
      </c>
      <c r="AE40" s="512">
        <f t="shared" si="26"/>
        <v>38.886947999999997</v>
      </c>
      <c r="AF40" s="752">
        <f t="shared" si="33"/>
        <v>37.235431819807175</v>
      </c>
      <c r="AG40" s="648">
        <v>2036</v>
      </c>
      <c r="AH40" s="643">
        <f t="shared" si="16"/>
        <v>2.4298813970013993</v>
      </c>
      <c r="AI40" s="643">
        <f t="shared" si="17"/>
        <v>3.5944131680836362</v>
      </c>
      <c r="AJ40" s="643">
        <f t="shared" si="18"/>
        <v>3.8671984565433735</v>
      </c>
      <c r="AK40" s="643">
        <f t="shared" si="19"/>
        <v>2.9572116275790004</v>
      </c>
      <c r="AL40" s="643">
        <f t="shared" si="20"/>
        <v>3.8354717194710708</v>
      </c>
      <c r="AM40" s="643">
        <f t="shared" si="21"/>
        <v>2.0516343149609999</v>
      </c>
      <c r="AN40" s="643">
        <f t="shared" si="22"/>
        <v>1.5294602111116589</v>
      </c>
      <c r="AO40" s="643">
        <f t="shared" si="36"/>
        <v>10.786417365038121</v>
      </c>
      <c r="AP40" s="649">
        <f t="shared" si="24"/>
        <v>5.1645543934072551</v>
      </c>
      <c r="AQ40" s="10"/>
    </row>
    <row r="41" spans="1:43" x14ac:dyDescent="0.2">
      <c r="A41" s="1070">
        <v>2037</v>
      </c>
      <c r="B41" s="512">
        <v>22.448108999999999</v>
      </c>
      <c r="C41" s="512">
        <v>24.223488</v>
      </c>
      <c r="D41" s="512">
        <v>29.229696000000001</v>
      </c>
      <c r="E41" s="512">
        <v>21.578913</v>
      </c>
      <c r="F41" s="512">
        <v>28.901509999999998</v>
      </c>
      <c r="G41" s="512">
        <v>15.426805</v>
      </c>
      <c r="H41" s="512">
        <v>12.694189</v>
      </c>
      <c r="I41" s="512">
        <v>38.818939</v>
      </c>
      <c r="J41" s="1424">
        <f t="shared" si="32"/>
        <v>36.314142785090304</v>
      </c>
      <c r="K41" s="648">
        <v>2037</v>
      </c>
      <c r="L41" s="643">
        <f t="shared" si="2"/>
        <v>3.1135527182999998</v>
      </c>
      <c r="M41" s="643">
        <f t="shared" si="3"/>
        <v>3.3597977856000001</v>
      </c>
      <c r="N41" s="643">
        <f t="shared" si="4"/>
        <v>4.0541588352</v>
      </c>
      <c r="O41" s="643">
        <f t="shared" si="5"/>
        <v>2.9929952330999998</v>
      </c>
      <c r="P41" s="643">
        <f t="shared" si="6"/>
        <v>4.0086394370000002</v>
      </c>
      <c r="Q41" s="643">
        <f t="shared" si="7"/>
        <v>2.1396978535000004</v>
      </c>
      <c r="R41" s="643">
        <f t="shared" si="8"/>
        <v>1.7606840143</v>
      </c>
      <c r="S41" s="643">
        <f t="shared" si="34"/>
        <v>10.755259514071515</v>
      </c>
      <c r="T41" s="649">
        <f t="shared" si="10"/>
        <v>5.0367716042920252</v>
      </c>
      <c r="U41" s="1666">
        <f>'S-curves'!AN26</f>
        <v>1.997564318453297</v>
      </c>
      <c r="W41" s="505">
        <v>2037</v>
      </c>
      <c r="X41" s="512">
        <f t="shared" si="31"/>
        <v>17.58173572027972</v>
      </c>
      <c r="Y41" s="512">
        <f t="shared" si="27"/>
        <v>25.764982690909086</v>
      </c>
      <c r="Z41" s="512">
        <f t="shared" si="25"/>
        <v>27.880026409637267</v>
      </c>
      <c r="AA41" s="512">
        <f t="shared" si="28"/>
        <v>21.363123869999999</v>
      </c>
      <c r="AB41" s="512">
        <f t="shared" si="29"/>
        <v>27.593495376021497</v>
      </c>
      <c r="AC41" s="512">
        <f t="shared" si="30"/>
        <v>15.272536949999999</v>
      </c>
      <c r="AD41" s="512">
        <f t="shared" si="13"/>
        <v>10.986450569506726</v>
      </c>
      <c r="AE41" s="512">
        <f t="shared" si="26"/>
        <v>38.818939</v>
      </c>
      <c r="AF41" s="752">
        <f t="shared" si="33"/>
        <v>36.314142785090304</v>
      </c>
      <c r="AG41" s="648">
        <v>2037</v>
      </c>
      <c r="AH41" s="643">
        <f t="shared" si="16"/>
        <v>2.4385867444027975</v>
      </c>
      <c r="AI41" s="643">
        <f t="shared" si="17"/>
        <v>3.5736030992290906</v>
      </c>
      <c r="AJ41" s="643">
        <f t="shared" si="18"/>
        <v>3.8669596630166891</v>
      </c>
      <c r="AK41" s="643">
        <f t="shared" si="19"/>
        <v>2.9630652807689999</v>
      </c>
      <c r="AL41" s="643">
        <f t="shared" si="20"/>
        <v>3.8272178086541815</v>
      </c>
      <c r="AM41" s="643">
        <f t="shared" si="21"/>
        <v>2.1183008749650001</v>
      </c>
      <c r="AN41" s="643">
        <f t="shared" si="22"/>
        <v>1.5238206939905827</v>
      </c>
      <c r="AO41" s="643">
        <f t="shared" si="36"/>
        <v>10.755259514071515</v>
      </c>
      <c r="AP41" s="649">
        <f t="shared" si="24"/>
        <v>5.0367716042920252</v>
      </c>
      <c r="AQ41" s="10"/>
    </row>
    <row r="42" spans="1:43" x14ac:dyDescent="0.2">
      <c r="A42" s="1070">
        <v>2038</v>
      </c>
      <c r="B42" s="512">
        <v>22.502665</v>
      </c>
      <c r="C42" s="512">
        <v>24.431009</v>
      </c>
      <c r="D42" s="512">
        <v>29.398031</v>
      </c>
      <c r="E42" s="512">
        <v>21.784565000000001</v>
      </c>
      <c r="F42" s="512">
        <v>29.080636999999999</v>
      </c>
      <c r="G42" s="512">
        <v>15.487436000000001</v>
      </c>
      <c r="H42" s="512">
        <v>12.624283999999999</v>
      </c>
      <c r="I42" s="512">
        <v>38.574703</v>
      </c>
      <c r="J42" s="1424">
        <f t="shared" si="32"/>
        <v>35.469627836599827</v>
      </c>
      <c r="K42" s="648">
        <v>2038</v>
      </c>
      <c r="L42" s="643">
        <f t="shared" si="2"/>
        <v>3.1211196354999999</v>
      </c>
      <c r="M42" s="643">
        <f t="shared" si="3"/>
        <v>3.3885809483</v>
      </c>
      <c r="N42" s="643">
        <f t="shared" si="4"/>
        <v>4.0775068997000004</v>
      </c>
      <c r="O42" s="643">
        <f t="shared" si="5"/>
        <v>3.0215191655</v>
      </c>
      <c r="P42" s="643">
        <f t="shared" si="6"/>
        <v>4.0334843519000003</v>
      </c>
      <c r="Q42" s="643">
        <f t="shared" si="7"/>
        <v>2.1481073732000002</v>
      </c>
      <c r="R42" s="643">
        <f t="shared" si="8"/>
        <v>1.7509881908</v>
      </c>
      <c r="S42" s="643">
        <f t="shared" si="34"/>
        <v>10.634975449401985</v>
      </c>
      <c r="T42" s="649">
        <f t="shared" si="10"/>
        <v>4.919637380936396</v>
      </c>
      <c r="U42" s="1666">
        <f>'S-curves'!AN27</f>
        <v>1.9877302162356105</v>
      </c>
      <c r="W42" s="505">
        <v>2038</v>
      </c>
      <c r="X42" s="512">
        <f t="shared" si="31"/>
        <v>17.624464895104897</v>
      </c>
      <c r="Y42" s="512">
        <f t="shared" si="27"/>
        <v>25.98570957272727</v>
      </c>
      <c r="Z42" s="512">
        <f t="shared" si="25"/>
        <v>28.040588607946354</v>
      </c>
      <c r="AA42" s="512">
        <f t="shared" si="28"/>
        <v>21.56671935</v>
      </c>
      <c r="AB42" s="512">
        <f t="shared" si="29"/>
        <v>27.764515507710833</v>
      </c>
      <c r="AC42" s="512">
        <f t="shared" si="30"/>
        <v>15.33256164</v>
      </c>
      <c r="AD42" s="512">
        <f t="shared" si="13"/>
        <v>10.925949829596412</v>
      </c>
      <c r="AE42" s="512">
        <f t="shared" si="26"/>
        <v>38.574703</v>
      </c>
      <c r="AF42" s="752">
        <f t="shared" si="33"/>
        <v>35.469627836599827</v>
      </c>
      <c r="AG42" s="648">
        <v>2038</v>
      </c>
      <c r="AH42" s="643">
        <f t="shared" si="16"/>
        <v>2.4445132809510492</v>
      </c>
      <c r="AI42" s="643">
        <f t="shared" si="17"/>
        <v>3.6042179177372726</v>
      </c>
      <c r="AJ42" s="643">
        <f t="shared" si="18"/>
        <v>3.8892296399221591</v>
      </c>
      <c r="AK42" s="643">
        <f t="shared" si="19"/>
        <v>2.991303973845</v>
      </c>
      <c r="AL42" s="643">
        <f t="shared" si="20"/>
        <v>3.8509383009194926</v>
      </c>
      <c r="AM42" s="643">
        <f t="shared" si="21"/>
        <v>2.1266262994680001</v>
      </c>
      <c r="AN42" s="643">
        <f t="shared" si="22"/>
        <v>1.5154292413650223</v>
      </c>
      <c r="AO42" s="643">
        <f t="shared" si="36"/>
        <v>10.634975449401985</v>
      </c>
      <c r="AP42" s="649">
        <f t="shared" si="24"/>
        <v>4.919637380936396</v>
      </c>
      <c r="AQ42" s="10"/>
    </row>
    <row r="43" spans="1:43" x14ac:dyDescent="0.2">
      <c r="A43" s="1070">
        <v>2039</v>
      </c>
      <c r="B43" s="512">
        <v>22.564640000000001</v>
      </c>
      <c r="C43" s="512">
        <v>24.847304999999999</v>
      </c>
      <c r="D43" s="512">
        <v>29.585927999999999</v>
      </c>
      <c r="E43" s="512">
        <v>21.975338000000001</v>
      </c>
      <c r="F43" s="512">
        <v>29.239021000000001</v>
      </c>
      <c r="G43" s="512">
        <v>15.571839000000001</v>
      </c>
      <c r="H43" s="512">
        <v>12.578768</v>
      </c>
      <c r="I43" s="512">
        <v>38.337806999999998</v>
      </c>
      <c r="J43" s="1424">
        <f t="shared" si="32"/>
        <v>34.548338801882956</v>
      </c>
      <c r="K43" s="648">
        <v>2039</v>
      </c>
      <c r="L43" s="643">
        <f t="shared" si="2"/>
        <v>3.1297155679999999</v>
      </c>
      <c r="M43" s="643">
        <f t="shared" si="3"/>
        <v>3.4463212034999997</v>
      </c>
      <c r="N43" s="643">
        <f t="shared" si="4"/>
        <v>4.1035682136</v>
      </c>
      <c r="O43" s="643">
        <f t="shared" si="5"/>
        <v>3.0479793806000002</v>
      </c>
      <c r="P43" s="643">
        <f t="shared" si="6"/>
        <v>4.0554522126999997</v>
      </c>
      <c r="Q43" s="643">
        <f t="shared" si="7"/>
        <v>2.1598140693000003</v>
      </c>
      <c r="R43" s="643">
        <f t="shared" si="8"/>
        <v>1.7446751216</v>
      </c>
      <c r="S43" s="643">
        <f t="shared" si="34"/>
        <v>10.431424509315686</v>
      </c>
      <c r="T43" s="649">
        <f t="shared" si="10"/>
        <v>4.7918545918211661</v>
      </c>
      <c r="U43" s="1666">
        <f>'S-curves'!AN28</f>
        <v>1.9617329724046002</v>
      </c>
      <c r="W43" s="505">
        <v>2039</v>
      </c>
      <c r="X43" s="512">
        <f t="shared" si="31"/>
        <v>17.673004755244758</v>
      </c>
      <c r="Y43" s="512">
        <f t="shared" si="27"/>
        <v>26.428497136363632</v>
      </c>
      <c r="Z43" s="512">
        <f t="shared" si="25"/>
        <v>28.219809538683766</v>
      </c>
      <c r="AA43" s="512">
        <f t="shared" si="28"/>
        <v>21.75558462</v>
      </c>
      <c r="AB43" s="512">
        <f t="shared" si="29"/>
        <v>27.915731418977607</v>
      </c>
      <c r="AC43" s="512">
        <f t="shared" si="30"/>
        <v>15.41612061</v>
      </c>
      <c r="AD43" s="512">
        <f t="shared" si="13"/>
        <v>10.886557058295963</v>
      </c>
      <c r="AE43" s="512">
        <f t="shared" si="26"/>
        <v>38.337806999999998</v>
      </c>
      <c r="AF43" s="752">
        <f t="shared" si="33"/>
        <v>34.548338801882956</v>
      </c>
      <c r="AG43" s="648">
        <v>2039</v>
      </c>
      <c r="AH43" s="643">
        <f t="shared" si="16"/>
        <v>2.4512457595524482</v>
      </c>
      <c r="AI43" s="643">
        <f t="shared" si="17"/>
        <v>3.6656325528136358</v>
      </c>
      <c r="AJ43" s="643">
        <f t="shared" si="18"/>
        <v>3.914087583015438</v>
      </c>
      <c r="AK43" s="643">
        <f t="shared" si="19"/>
        <v>3.017499586794</v>
      </c>
      <c r="AL43" s="643">
        <f t="shared" si="20"/>
        <v>3.8719119478121939</v>
      </c>
      <c r="AM43" s="643">
        <f t="shared" si="21"/>
        <v>2.1382159286069999</v>
      </c>
      <c r="AN43" s="643">
        <f t="shared" si="22"/>
        <v>1.5099654639856501</v>
      </c>
      <c r="AO43" s="643">
        <f t="shared" si="36"/>
        <v>10.431424509315686</v>
      </c>
      <c r="AP43" s="649">
        <f t="shared" si="24"/>
        <v>4.7918545918211661</v>
      </c>
      <c r="AQ43" s="10"/>
    </row>
    <row r="44" spans="1:43" x14ac:dyDescent="0.2">
      <c r="A44" s="1071">
        <v>2040</v>
      </c>
      <c r="B44" s="512">
        <v>22.621523</v>
      </c>
      <c r="C44" s="512">
        <v>25.342030000000001</v>
      </c>
      <c r="D44" s="512">
        <v>29.794042999999999</v>
      </c>
      <c r="E44" s="512">
        <v>22.095026000000001</v>
      </c>
      <c r="F44" s="512">
        <v>29.376836999999998</v>
      </c>
      <c r="G44" s="512">
        <v>15.668426999999999</v>
      </c>
      <c r="H44" s="512">
        <v>12.578671999999999</v>
      </c>
      <c r="I44" s="512">
        <v>38.110615000000003</v>
      </c>
      <c r="J44" s="1424">
        <f t="shared" si="32"/>
        <v>33.780597939618893</v>
      </c>
      <c r="K44" s="650">
        <v>2040</v>
      </c>
      <c r="L44" s="644">
        <f t="shared" si="2"/>
        <v>3.1376052401000001</v>
      </c>
      <c r="M44" s="644">
        <f t="shared" si="3"/>
        <v>3.5149395610000003</v>
      </c>
      <c r="N44" s="644">
        <f t="shared" si="4"/>
        <v>4.1324337641</v>
      </c>
      <c r="O44" s="644">
        <f t="shared" si="5"/>
        <v>3.0645801062000002</v>
      </c>
      <c r="P44" s="644">
        <f t="shared" si="6"/>
        <v>4.0745672918999993</v>
      </c>
      <c r="Q44" s="644">
        <f t="shared" si="7"/>
        <v>2.1732108248999999</v>
      </c>
      <c r="R44" s="644">
        <f t="shared" si="8"/>
        <v>1.7446618063999999</v>
      </c>
      <c r="S44" s="644">
        <f t="shared" si="34"/>
        <v>10.091586161962542</v>
      </c>
      <c r="T44" s="651">
        <f t="shared" si="10"/>
        <v>4.6853689342251403</v>
      </c>
      <c r="U44" s="1666">
        <f>'S-curves'!AN29</f>
        <v>1.9091366474068348</v>
      </c>
      <c r="W44" s="506">
        <v>2040</v>
      </c>
      <c r="X44" s="512">
        <f t="shared" si="31"/>
        <v>17.717556475524479</v>
      </c>
      <c r="Y44" s="512">
        <f t="shared" si="27"/>
        <v>26.954704636363633</v>
      </c>
      <c r="Z44" s="512">
        <f t="shared" si="25"/>
        <v>28.418314911310343</v>
      </c>
      <c r="AA44" s="512">
        <f t="shared" si="28"/>
        <v>21.874075740000002</v>
      </c>
      <c r="AB44" s="512">
        <f t="shared" si="29"/>
        <v>28.047310189731856</v>
      </c>
      <c r="AC44" s="512">
        <f t="shared" si="30"/>
        <v>15.51174273</v>
      </c>
      <c r="AD44" s="512">
        <f t="shared" si="13"/>
        <v>10.886473973094169</v>
      </c>
      <c r="AE44" s="512">
        <f t="shared" si="26"/>
        <v>38.110615000000003</v>
      </c>
      <c r="AF44" s="752">
        <f t="shared" si="33"/>
        <v>33.780597939618893</v>
      </c>
      <c r="AG44" s="650">
        <v>2040</v>
      </c>
      <c r="AH44" s="644">
        <f t="shared" si="16"/>
        <v>2.4574250831552451</v>
      </c>
      <c r="AI44" s="644">
        <f t="shared" si="17"/>
        <v>3.738617533063636</v>
      </c>
      <c r="AJ44" s="644">
        <f t="shared" si="18"/>
        <v>3.9416202781987448</v>
      </c>
      <c r="AK44" s="644">
        <f t="shared" si="19"/>
        <v>3.0339343051380001</v>
      </c>
      <c r="AL44" s="644">
        <f t="shared" si="20"/>
        <v>3.8901619233158087</v>
      </c>
      <c r="AM44" s="644">
        <f t="shared" si="21"/>
        <v>2.1514787166509999</v>
      </c>
      <c r="AN44" s="644">
        <f t="shared" si="22"/>
        <v>1.5099539400681614</v>
      </c>
      <c r="AO44" s="644">
        <f t="shared" si="36"/>
        <v>10.091586161962542</v>
      </c>
      <c r="AP44" s="651">
        <f t="shared" si="24"/>
        <v>4.6853689342251403</v>
      </c>
      <c r="AQ44" s="10"/>
    </row>
    <row r="45" spans="1:43" x14ac:dyDescent="0.2">
      <c r="A45" s="1070">
        <v>2041</v>
      </c>
      <c r="B45" s="512">
        <v>22.640591000000001</v>
      </c>
      <c r="C45" s="512">
        <v>26.058499999999999</v>
      </c>
      <c r="D45" s="512">
        <v>29.89752</v>
      </c>
      <c r="E45" s="512">
        <v>22.210664999999999</v>
      </c>
      <c r="F45" s="512">
        <v>29.398700999999999</v>
      </c>
      <c r="G45" s="512">
        <v>15.737202</v>
      </c>
      <c r="H45" s="512">
        <v>12.525743</v>
      </c>
      <c r="I45" s="512">
        <v>37.905239000000002</v>
      </c>
      <c r="J45" s="1424">
        <f t="shared" si="32"/>
        <v>33.012857077354823</v>
      </c>
      <c r="K45" s="648">
        <v>2041</v>
      </c>
      <c r="L45" s="643">
        <f t="shared" si="2"/>
        <v>3.1402499717000003</v>
      </c>
      <c r="M45" s="643">
        <f t="shared" si="3"/>
        <v>3.6143139499999997</v>
      </c>
      <c r="N45" s="643">
        <f t="shared" si="4"/>
        <v>4.1467860239999998</v>
      </c>
      <c r="O45" s="643">
        <f t="shared" si="5"/>
        <v>3.0806192354999999</v>
      </c>
      <c r="P45" s="643">
        <f t="shared" si="6"/>
        <v>4.0775998287000004</v>
      </c>
      <c r="Q45" s="643">
        <f t="shared" si="7"/>
        <v>2.1827499174000002</v>
      </c>
      <c r="R45" s="643">
        <f t="shared" si="8"/>
        <v>1.7373205541000001</v>
      </c>
      <c r="S45" s="643">
        <f t="shared" si="34"/>
        <v>9.5725394736326752</v>
      </c>
      <c r="T45" s="649">
        <f t="shared" si="10"/>
        <v>4.5788832766291137</v>
      </c>
      <c r="U45" s="1666">
        <f>'S-curves'!AN30</f>
        <v>1.8207548082982679</v>
      </c>
      <c r="W45" s="505">
        <v>2041</v>
      </c>
      <c r="X45" s="512">
        <f t="shared" si="31"/>
        <v>17.732490853146857</v>
      </c>
      <c r="Y45" s="512">
        <f t="shared" si="27"/>
        <v>27.716768181818178</v>
      </c>
      <c r="Z45" s="512">
        <f t="shared" si="25"/>
        <v>28.517013901980313</v>
      </c>
      <c r="AA45" s="512">
        <f t="shared" si="28"/>
        <v>21.988558349999998</v>
      </c>
      <c r="AB45" s="512">
        <f t="shared" si="29"/>
        <v>28.068184676321014</v>
      </c>
      <c r="AC45" s="512">
        <f t="shared" si="30"/>
        <v>15.57982998</v>
      </c>
      <c r="AD45" s="512">
        <f t="shared" si="13"/>
        <v>10.840665466367712</v>
      </c>
      <c r="AE45" s="512">
        <f t="shared" si="26"/>
        <v>37.905239000000002</v>
      </c>
      <c r="AF45" s="752">
        <f t="shared" si="33"/>
        <v>33.012857077354823</v>
      </c>
      <c r="AG45" s="648">
        <v>2041</v>
      </c>
      <c r="AH45" s="643">
        <f t="shared" si="16"/>
        <v>2.459496481331469</v>
      </c>
      <c r="AI45" s="643">
        <f t="shared" si="17"/>
        <v>3.844315746818181</v>
      </c>
      <c r="AJ45" s="643">
        <f t="shared" si="18"/>
        <v>3.9553098282046695</v>
      </c>
      <c r="AK45" s="643">
        <f t="shared" si="19"/>
        <v>3.0498130431449995</v>
      </c>
      <c r="AL45" s="643">
        <f t="shared" si="20"/>
        <v>3.8930572146057245</v>
      </c>
      <c r="AM45" s="643">
        <f t="shared" si="21"/>
        <v>2.1609224182259998</v>
      </c>
      <c r="AN45" s="643">
        <f t="shared" si="22"/>
        <v>1.5036003001852016</v>
      </c>
      <c r="AO45" s="643">
        <f t="shared" si="36"/>
        <v>9.5725394736326752</v>
      </c>
      <c r="AP45" s="649">
        <f t="shared" si="24"/>
        <v>4.5788832766291137</v>
      </c>
      <c r="AQ45" s="10"/>
    </row>
    <row r="46" spans="1:43" x14ac:dyDescent="0.2">
      <c r="A46" s="1070">
        <v>2042</v>
      </c>
      <c r="B46" s="512">
        <v>22.688993</v>
      </c>
      <c r="C46" s="512">
        <v>26.868804999999998</v>
      </c>
      <c r="D46" s="512">
        <v>30.132586</v>
      </c>
      <c r="E46" s="512">
        <v>22.446021999999999</v>
      </c>
      <c r="F46" s="512">
        <v>29.566365999999999</v>
      </c>
      <c r="G46" s="512">
        <v>15.909072</v>
      </c>
      <c r="H46" s="512">
        <v>12.527932</v>
      </c>
      <c r="I46" s="512">
        <v>37.682907</v>
      </c>
      <c r="J46" s="1424">
        <f t="shared" si="32"/>
        <v>32.398664387543569</v>
      </c>
      <c r="K46" s="648">
        <v>2042</v>
      </c>
      <c r="L46" s="643">
        <f t="shared" si="2"/>
        <v>3.1469633291000001</v>
      </c>
      <c r="M46" s="643">
        <f t="shared" si="3"/>
        <v>3.7267032534999998</v>
      </c>
      <c r="N46" s="643">
        <f t="shared" si="4"/>
        <v>4.1793896781999997</v>
      </c>
      <c r="O46" s="643">
        <f t="shared" si="5"/>
        <v>3.1132632513999998</v>
      </c>
      <c r="P46" s="643">
        <f t="shared" si="6"/>
        <v>4.1008549641999998</v>
      </c>
      <c r="Q46" s="643">
        <f t="shared" si="7"/>
        <v>2.2065882864000002</v>
      </c>
      <c r="R46" s="643">
        <f t="shared" si="8"/>
        <v>1.7376241684</v>
      </c>
      <c r="S46" s="643">
        <f t="shared" si="34"/>
        <v>8.8514743632698352</v>
      </c>
      <c r="T46" s="649">
        <f t="shared" si="10"/>
        <v>4.4936947505522928</v>
      </c>
      <c r="U46" s="1666">
        <f>'S-curves'!AN31</f>
        <v>1.6935372605193146</v>
      </c>
      <c r="W46" s="505">
        <v>2042</v>
      </c>
      <c r="X46" s="512">
        <f t="shared" si="31"/>
        <v>17.770400111888115</v>
      </c>
      <c r="Y46" s="512">
        <f t="shared" si="27"/>
        <v>28.578638045454539</v>
      </c>
      <c r="Z46" s="512">
        <f t="shared" si="25"/>
        <v>28.741225822898269</v>
      </c>
      <c r="AA46" s="512">
        <f t="shared" si="28"/>
        <v>22.221561779999998</v>
      </c>
      <c r="AB46" s="512">
        <f t="shared" si="29"/>
        <v>28.228261551273935</v>
      </c>
      <c r="AC46" s="512">
        <f t="shared" si="30"/>
        <v>15.74998128</v>
      </c>
      <c r="AD46" s="512">
        <f t="shared" si="13"/>
        <v>10.842559982062779</v>
      </c>
      <c r="AE46" s="512">
        <f t="shared" si="26"/>
        <v>37.682907</v>
      </c>
      <c r="AF46" s="752">
        <f t="shared" si="33"/>
        <v>32.398664387543569</v>
      </c>
      <c r="AG46" s="648">
        <v>2042</v>
      </c>
      <c r="AH46" s="643">
        <f t="shared" si="16"/>
        <v>2.4647544955188811</v>
      </c>
      <c r="AI46" s="643">
        <f t="shared" si="17"/>
        <v>3.9638570969045448</v>
      </c>
      <c r="AJ46" s="643">
        <f t="shared" si="18"/>
        <v>3.9864080216359898</v>
      </c>
      <c r="AK46" s="643">
        <f t="shared" si="19"/>
        <v>3.0821306188859996</v>
      </c>
      <c r="AL46" s="643">
        <f t="shared" si="20"/>
        <v>3.9152598771616947</v>
      </c>
      <c r="AM46" s="643">
        <f t="shared" si="21"/>
        <v>2.184522403536</v>
      </c>
      <c r="AN46" s="643">
        <f t="shared" si="22"/>
        <v>1.5038630695121074</v>
      </c>
      <c r="AO46" s="643">
        <f t="shared" si="36"/>
        <v>8.8514743632698352</v>
      </c>
      <c r="AP46" s="649">
        <f t="shared" si="24"/>
        <v>4.4936947505522928</v>
      </c>
      <c r="AQ46" s="10"/>
    </row>
    <row r="47" spans="1:43" x14ac:dyDescent="0.2">
      <c r="A47" s="1070">
        <v>2043</v>
      </c>
      <c r="B47" s="512">
        <v>22.745186</v>
      </c>
      <c r="C47" s="512">
        <v>27.726488</v>
      </c>
      <c r="D47" s="512">
        <v>30.180281000000001</v>
      </c>
      <c r="E47" s="512">
        <v>22.556460999999999</v>
      </c>
      <c r="F47" s="512">
        <v>29.566801000000002</v>
      </c>
      <c r="G47" s="512">
        <v>15.939170000000001</v>
      </c>
      <c r="H47" s="512">
        <v>12.546165</v>
      </c>
      <c r="I47" s="512">
        <v>37.382308999999999</v>
      </c>
      <c r="J47" s="1424">
        <f t="shared" si="32"/>
        <v>31.861245783958722</v>
      </c>
      <c r="K47" s="648">
        <v>2043</v>
      </c>
      <c r="L47" s="643">
        <f t="shared" si="2"/>
        <v>3.1547572982000003</v>
      </c>
      <c r="M47" s="643">
        <f t="shared" si="3"/>
        <v>3.8456638856000001</v>
      </c>
      <c r="N47" s="643">
        <f t="shared" si="4"/>
        <v>4.1860049747000003</v>
      </c>
      <c r="O47" s="643">
        <f t="shared" si="5"/>
        <v>3.1285811406999997</v>
      </c>
      <c r="P47" s="643">
        <f t="shared" si="6"/>
        <v>4.1009152987000004</v>
      </c>
      <c r="Q47" s="643">
        <f t="shared" si="7"/>
        <v>2.2107628790000002</v>
      </c>
      <c r="R47" s="643">
        <f t="shared" si="8"/>
        <v>1.7401530855</v>
      </c>
      <c r="S47" s="643">
        <f t="shared" si="34"/>
        <v>7.9621743503554061</v>
      </c>
      <c r="T47" s="649">
        <f t="shared" si="10"/>
        <v>4.4191547902350754</v>
      </c>
      <c r="U47" s="1666">
        <f>'S-curves'!AN32</f>
        <v>1.5356388796484046</v>
      </c>
      <c r="W47" s="505">
        <v>2043</v>
      </c>
      <c r="X47" s="512">
        <f t="shared" si="31"/>
        <v>17.814411412587415</v>
      </c>
      <c r="Y47" s="512">
        <f t="shared" si="27"/>
        <v>29.49090087272727</v>
      </c>
      <c r="Z47" s="512">
        <f t="shared" si="25"/>
        <v>28.786718525237958</v>
      </c>
      <c r="AA47" s="512">
        <f t="shared" si="28"/>
        <v>22.330896389999999</v>
      </c>
      <c r="AB47" s="512">
        <f t="shared" si="29"/>
        <v>28.228676864193179</v>
      </c>
      <c r="AC47" s="512">
        <f t="shared" si="30"/>
        <v>15.7797783</v>
      </c>
      <c r="AD47" s="512">
        <f t="shared" si="13"/>
        <v>10.858340112107623</v>
      </c>
      <c r="AE47" s="512">
        <f t="shared" si="26"/>
        <v>37.382308999999999</v>
      </c>
      <c r="AF47" s="752">
        <f t="shared" si="33"/>
        <v>31.861245783958722</v>
      </c>
      <c r="AG47" s="648">
        <v>2043</v>
      </c>
      <c r="AH47" s="643">
        <f t="shared" si="16"/>
        <v>2.4708588629258745</v>
      </c>
      <c r="AI47" s="643">
        <f t="shared" si="17"/>
        <v>4.0903879510472727</v>
      </c>
      <c r="AJ47" s="643">
        <f t="shared" si="18"/>
        <v>3.9927178594505048</v>
      </c>
      <c r="AK47" s="643">
        <f t="shared" si="19"/>
        <v>3.0972953292929999</v>
      </c>
      <c r="AL47" s="643">
        <f t="shared" si="20"/>
        <v>3.9153174810635942</v>
      </c>
      <c r="AM47" s="643">
        <f t="shared" si="21"/>
        <v>2.1886552502100001</v>
      </c>
      <c r="AN47" s="643">
        <f t="shared" si="22"/>
        <v>1.5060517735493273</v>
      </c>
      <c r="AO47" s="643">
        <f t="shared" si="36"/>
        <v>7.9621743503554061</v>
      </c>
      <c r="AP47" s="649">
        <f t="shared" si="24"/>
        <v>4.4191547902350754</v>
      </c>
      <c r="AQ47" s="10"/>
    </row>
    <row r="48" spans="1:43" x14ac:dyDescent="0.2">
      <c r="A48" s="1070">
        <v>2044</v>
      </c>
      <c r="B48" s="512">
        <v>22.794394</v>
      </c>
      <c r="C48" s="512">
        <v>28.261793000000001</v>
      </c>
      <c r="D48" s="512">
        <v>30.181252000000001</v>
      </c>
      <c r="E48" s="512">
        <v>22.518681999999998</v>
      </c>
      <c r="F48" s="512">
        <v>29.445443999999998</v>
      </c>
      <c r="G48" s="512">
        <v>15.735325</v>
      </c>
      <c r="H48" s="512">
        <v>12.597267</v>
      </c>
      <c r="I48" s="512">
        <v>37.188625000000002</v>
      </c>
      <c r="J48" s="1424">
        <f t="shared" si="32"/>
        <v>31.247053094147475</v>
      </c>
      <c r="K48" s="648">
        <v>2044</v>
      </c>
      <c r="L48" s="643">
        <f t="shared" si="2"/>
        <v>3.1615824478000003</v>
      </c>
      <c r="M48" s="643">
        <f t="shared" si="3"/>
        <v>3.9199106891</v>
      </c>
      <c r="N48" s="643">
        <f t="shared" si="4"/>
        <v>4.1861396523999996</v>
      </c>
      <c r="O48" s="643">
        <f t="shared" si="5"/>
        <v>3.1233411933999999</v>
      </c>
      <c r="P48" s="643">
        <f t="shared" si="6"/>
        <v>4.0840830828000003</v>
      </c>
      <c r="Q48" s="643">
        <f t="shared" si="7"/>
        <v>2.1824895775000002</v>
      </c>
      <c r="R48" s="643">
        <f t="shared" si="8"/>
        <v>1.7472409329</v>
      </c>
      <c r="S48" s="643">
        <f t="shared" si="34"/>
        <v>7.055607359352992</v>
      </c>
      <c r="T48" s="649">
        <f t="shared" si="10"/>
        <v>4.3339662641582546</v>
      </c>
      <c r="U48" s="1666">
        <f>'S-curves'!AN33</f>
        <v>1.3678794411714423</v>
      </c>
      <c r="W48" s="505">
        <v>2044</v>
      </c>
      <c r="X48" s="512">
        <f t="shared" si="31"/>
        <v>17.852951944055949</v>
      </c>
      <c r="Y48" s="512">
        <f t="shared" si="27"/>
        <v>30.060270736363634</v>
      </c>
      <c r="Z48" s="512">
        <f t="shared" si="25"/>
        <v>28.78764468969905</v>
      </c>
      <c r="AA48" s="512">
        <f t="shared" si="28"/>
        <v>22.293495179999997</v>
      </c>
      <c r="AB48" s="512">
        <f t="shared" si="29"/>
        <v>28.112812197663718</v>
      </c>
      <c r="AC48" s="512">
        <f t="shared" si="30"/>
        <v>15.57797175</v>
      </c>
      <c r="AD48" s="512">
        <f t="shared" si="13"/>
        <v>10.902567403587444</v>
      </c>
      <c r="AE48" s="512">
        <f t="shared" si="26"/>
        <v>37.188625000000002</v>
      </c>
      <c r="AF48" s="752">
        <f t="shared" si="33"/>
        <v>31.247053094147475</v>
      </c>
      <c r="AG48" s="648">
        <v>2044</v>
      </c>
      <c r="AH48" s="643">
        <f t="shared" si="16"/>
        <v>2.4762044346405605</v>
      </c>
      <c r="AI48" s="643">
        <f t="shared" si="17"/>
        <v>4.1693595511336357</v>
      </c>
      <c r="AJ48" s="643">
        <f t="shared" si="18"/>
        <v>3.9928463184612584</v>
      </c>
      <c r="AK48" s="643">
        <f t="shared" si="19"/>
        <v>3.0921077814659998</v>
      </c>
      <c r="AL48" s="643">
        <f t="shared" si="20"/>
        <v>3.8992470518159577</v>
      </c>
      <c r="AM48" s="643">
        <f t="shared" si="21"/>
        <v>2.1606646817250001</v>
      </c>
      <c r="AN48" s="643">
        <f t="shared" si="22"/>
        <v>1.5121860988775786</v>
      </c>
      <c r="AO48" s="643">
        <f t="shared" si="36"/>
        <v>7.055607359352992</v>
      </c>
      <c r="AP48" s="649">
        <f t="shared" si="24"/>
        <v>4.3339662641582546</v>
      </c>
      <c r="AQ48" s="10"/>
    </row>
    <row r="49" spans="1:43" x14ac:dyDescent="0.2">
      <c r="A49" s="1071">
        <v>2045</v>
      </c>
      <c r="B49" s="512">
        <v>22.814636</v>
      </c>
      <c r="C49" s="512">
        <v>28.801780999999998</v>
      </c>
      <c r="D49" s="512">
        <v>30.247581</v>
      </c>
      <c r="E49" s="512">
        <v>22.683077000000001</v>
      </c>
      <c r="F49" s="512">
        <v>29.487279999999998</v>
      </c>
      <c r="G49" s="512">
        <v>15.767515</v>
      </c>
      <c r="H49" s="512">
        <v>12.650783000000001</v>
      </c>
      <c r="I49" s="512">
        <v>37.069915999999999</v>
      </c>
      <c r="J49" s="1424">
        <f t="shared" si="32"/>
        <v>30.709634490562621</v>
      </c>
      <c r="K49" s="650">
        <v>2045</v>
      </c>
      <c r="L49" s="644">
        <f t="shared" si="2"/>
        <v>3.1643900131999998</v>
      </c>
      <c r="M49" s="644">
        <f t="shared" si="3"/>
        <v>3.9948070247</v>
      </c>
      <c r="N49" s="644">
        <f t="shared" si="4"/>
        <v>4.1953394846999998</v>
      </c>
      <c r="O49" s="644">
        <f t="shared" si="5"/>
        <v>3.1461427798999999</v>
      </c>
      <c r="P49" s="644">
        <f t="shared" si="6"/>
        <v>4.0898857359999994</v>
      </c>
      <c r="Q49" s="644">
        <f t="shared" si="7"/>
        <v>2.1869543305000003</v>
      </c>
      <c r="R49" s="644">
        <f t="shared" si="8"/>
        <v>1.7546636020999999</v>
      </c>
      <c r="S49" s="644">
        <f t="shared" si="34"/>
        <v>6.261459834466474</v>
      </c>
      <c r="T49" s="651">
        <f t="shared" si="10"/>
        <v>4.2594263038410354</v>
      </c>
      <c r="U49" s="1666">
        <f>'S-curves'!AN34</f>
        <v>1.2178043921390924</v>
      </c>
      <c r="W49" s="506">
        <v>2045</v>
      </c>
      <c r="X49" s="512">
        <f t="shared" si="31"/>
        <v>17.868805818181823</v>
      </c>
      <c r="Y49" s="512">
        <f t="shared" si="27"/>
        <v>30.634621609090903</v>
      </c>
      <c r="Z49" s="512">
        <f t="shared" si="25"/>
        <v>28.850910974498074</v>
      </c>
      <c r="AA49" s="512">
        <f t="shared" si="28"/>
        <v>22.456246230000001</v>
      </c>
      <c r="AB49" s="512">
        <f t="shared" si="29"/>
        <v>28.152754798328917</v>
      </c>
      <c r="AC49" s="512">
        <f t="shared" si="30"/>
        <v>15.60983985</v>
      </c>
      <c r="AD49" s="512">
        <f t="shared" si="13"/>
        <v>10.948883941704036</v>
      </c>
      <c r="AE49" s="512">
        <f t="shared" si="26"/>
        <v>37.069915999999999</v>
      </c>
      <c r="AF49" s="752">
        <f t="shared" si="33"/>
        <v>30.709634490562621</v>
      </c>
      <c r="AG49" s="650">
        <v>2045</v>
      </c>
      <c r="AH49" s="644">
        <f t="shared" si="16"/>
        <v>2.4784033669818188</v>
      </c>
      <c r="AI49" s="644">
        <f t="shared" si="17"/>
        <v>4.2490220171809083</v>
      </c>
      <c r="AJ49" s="644">
        <f t="shared" si="18"/>
        <v>4.0016213521628829</v>
      </c>
      <c r="AK49" s="644">
        <f t="shared" si="19"/>
        <v>3.1146813521009999</v>
      </c>
      <c r="AL49" s="644">
        <f t="shared" si="20"/>
        <v>3.9047870905282207</v>
      </c>
      <c r="AM49" s="644">
        <f t="shared" si="21"/>
        <v>2.1650847871950001</v>
      </c>
      <c r="AN49" s="644">
        <f t="shared" si="22"/>
        <v>1.5186102027143498</v>
      </c>
      <c r="AO49" s="644">
        <f t="shared" si="36"/>
        <v>6.261459834466474</v>
      </c>
      <c r="AP49" s="651">
        <f t="shared" si="24"/>
        <v>4.2594263038410354</v>
      </c>
      <c r="AQ49" s="10"/>
    </row>
    <row r="50" spans="1:43" x14ac:dyDescent="0.2">
      <c r="A50" s="1070">
        <v>2046</v>
      </c>
      <c r="B50" s="512">
        <v>22.812548</v>
      </c>
      <c r="C50" s="512">
        <v>30.356558</v>
      </c>
      <c r="D50" s="512">
        <v>30.342438000000001</v>
      </c>
      <c r="E50" s="512">
        <v>22.670938</v>
      </c>
      <c r="F50" s="512">
        <v>29.349450999999998</v>
      </c>
      <c r="G50" s="512">
        <v>16.297256000000001</v>
      </c>
      <c r="H50" s="512">
        <v>12.693562999999999</v>
      </c>
      <c r="I50" s="512">
        <v>36.974594000000003</v>
      </c>
      <c r="J50" s="1424">
        <f t="shared" si="32"/>
        <v>30.709634490562621</v>
      </c>
      <c r="K50" s="648">
        <v>2046</v>
      </c>
      <c r="L50" s="643">
        <f t="shared" si="2"/>
        <v>3.1641004075999999</v>
      </c>
      <c r="M50" s="643">
        <f t="shared" si="3"/>
        <v>4.2104545946000007</v>
      </c>
      <c r="N50" s="643">
        <f t="shared" si="4"/>
        <v>4.2084961506000003</v>
      </c>
      <c r="O50" s="643">
        <f t="shared" si="5"/>
        <v>3.1444591006000002</v>
      </c>
      <c r="P50" s="643">
        <f t="shared" si="6"/>
        <v>4.0707688536999997</v>
      </c>
      <c r="Q50" s="643">
        <f t="shared" si="7"/>
        <v>2.2604294072000002</v>
      </c>
      <c r="R50" s="643">
        <f t="shared" si="8"/>
        <v>1.7605971881</v>
      </c>
      <c r="S50" s="643">
        <f t="shared" si="34"/>
        <v>5.6789850951086533</v>
      </c>
      <c r="T50" s="649">
        <f t="shared" si="10"/>
        <v>4.2594263038410354</v>
      </c>
      <c r="U50" s="1666">
        <f>'S-curves'!AN35</f>
        <v>1.1073651555863839</v>
      </c>
      <c r="W50" s="505">
        <v>2046</v>
      </c>
      <c r="X50" s="512">
        <f t="shared" si="31"/>
        <v>17.867170461538464</v>
      </c>
      <c r="Y50" s="512">
        <f t="shared" si="27"/>
        <v>32.288338963636356</v>
      </c>
      <c r="Z50" s="512">
        <f t="shared" si="25"/>
        <v>28.941387990240521</v>
      </c>
      <c r="AA50" s="512">
        <f t="shared" si="28"/>
        <v>22.444228620000001</v>
      </c>
      <c r="AB50" s="512">
        <f t="shared" si="29"/>
        <v>28.021163615924202</v>
      </c>
      <c r="AC50" s="512">
        <f t="shared" si="30"/>
        <v>16.134283440000001</v>
      </c>
      <c r="AD50" s="512">
        <f t="shared" si="13"/>
        <v>10.985908784753361</v>
      </c>
      <c r="AE50" s="512">
        <f t="shared" si="26"/>
        <v>36.974594000000003</v>
      </c>
      <c r="AF50" s="752">
        <f t="shared" si="33"/>
        <v>30.709634490562621</v>
      </c>
      <c r="AG50" s="648">
        <v>2046</v>
      </c>
      <c r="AH50" s="643">
        <f t="shared" si="16"/>
        <v>2.478176543015385</v>
      </c>
      <c r="AI50" s="643">
        <f t="shared" si="17"/>
        <v>4.4783926142563626</v>
      </c>
      <c r="AJ50" s="643">
        <f t="shared" si="18"/>
        <v>4.0141705142463602</v>
      </c>
      <c r="AK50" s="643">
        <f t="shared" si="19"/>
        <v>3.1130145095940001</v>
      </c>
      <c r="AL50" s="643">
        <f t="shared" si="20"/>
        <v>3.8865353935286868</v>
      </c>
      <c r="AM50" s="643">
        <f t="shared" si="21"/>
        <v>2.2378251131279998</v>
      </c>
      <c r="AN50" s="643">
        <f t="shared" si="22"/>
        <v>1.5237455484452911</v>
      </c>
      <c r="AO50" s="643">
        <f t="shared" si="36"/>
        <v>5.6789850951086533</v>
      </c>
      <c r="AP50" s="649">
        <f t="shared" si="24"/>
        <v>4.2594263038410354</v>
      </c>
      <c r="AQ50" s="10"/>
    </row>
    <row r="51" spans="1:43" x14ac:dyDescent="0.2">
      <c r="A51" s="1070">
        <v>2047</v>
      </c>
      <c r="B51" s="512">
        <v>22.802803000000001</v>
      </c>
      <c r="C51" s="512">
        <v>32.465274999999998</v>
      </c>
      <c r="D51" s="512">
        <v>30.418403999999999</v>
      </c>
      <c r="E51" s="512">
        <v>22.731850000000001</v>
      </c>
      <c r="F51" s="512">
        <v>29.202044999999998</v>
      </c>
      <c r="G51" s="512">
        <v>16.66431</v>
      </c>
      <c r="H51" s="512">
        <v>12.752255</v>
      </c>
      <c r="I51" s="512">
        <v>36.833530000000003</v>
      </c>
      <c r="J51" s="1424">
        <f t="shared" si="32"/>
        <v>30.709634490562621</v>
      </c>
      <c r="K51" s="648">
        <v>2047</v>
      </c>
      <c r="L51" s="643">
        <f t="shared" si="2"/>
        <v>3.1627487760999999</v>
      </c>
      <c r="M51" s="643">
        <f t="shared" si="3"/>
        <v>4.5029336425000004</v>
      </c>
      <c r="N51" s="643">
        <f t="shared" si="4"/>
        <v>4.2190326348000005</v>
      </c>
      <c r="O51" s="643">
        <f t="shared" si="5"/>
        <v>3.1529075950000003</v>
      </c>
      <c r="P51" s="643">
        <f t="shared" si="6"/>
        <v>4.0503236415000003</v>
      </c>
      <c r="Q51" s="643">
        <f t="shared" si="7"/>
        <v>2.3113397970000005</v>
      </c>
      <c r="R51" s="643">
        <f t="shared" si="8"/>
        <v>1.7687377685000001</v>
      </c>
      <c r="S51" s="643">
        <f t="shared" si="34"/>
        <v>5.3254486790300675</v>
      </c>
      <c r="T51" s="649">
        <f t="shared" si="10"/>
        <v>4.2594263038410354</v>
      </c>
      <c r="U51" s="1666">
        <f>'S-curves'!AN36</f>
        <v>1.0424047952694926</v>
      </c>
      <c r="W51" s="505">
        <v>2047</v>
      </c>
      <c r="X51" s="512">
        <f t="shared" si="31"/>
        <v>17.859538013986018</v>
      </c>
      <c r="Y51" s="512">
        <f t="shared" si="27"/>
        <v>34.531247045454542</v>
      </c>
      <c r="Z51" s="512">
        <f t="shared" si="25"/>
        <v>29.013846290396447</v>
      </c>
      <c r="AA51" s="512">
        <f t="shared" si="28"/>
        <v>22.504531500000002</v>
      </c>
      <c r="AB51" s="512">
        <f t="shared" si="29"/>
        <v>27.880428866099788</v>
      </c>
      <c r="AC51" s="512">
        <f t="shared" si="30"/>
        <v>16.497666899999999</v>
      </c>
      <c r="AD51" s="512">
        <f t="shared" si="13"/>
        <v>11.036705</v>
      </c>
      <c r="AE51" s="512">
        <f t="shared" si="26"/>
        <v>36.833530000000003</v>
      </c>
      <c r="AF51" s="752">
        <f t="shared" si="33"/>
        <v>30.709634490562621</v>
      </c>
      <c r="AG51" s="648">
        <v>2047</v>
      </c>
      <c r="AH51" s="643">
        <f t="shared" si="16"/>
        <v>2.4771179225398607</v>
      </c>
      <c r="AI51" s="643">
        <f t="shared" si="17"/>
        <v>4.7894839652045453</v>
      </c>
      <c r="AJ51" s="643">
        <f t="shared" si="18"/>
        <v>4.0242204804779877</v>
      </c>
      <c r="AK51" s="643">
        <f t="shared" si="19"/>
        <v>3.1213785190500003</v>
      </c>
      <c r="AL51" s="643">
        <f t="shared" si="20"/>
        <v>3.8670154837280406</v>
      </c>
      <c r="AM51" s="643">
        <f t="shared" si="21"/>
        <v>2.28822639903</v>
      </c>
      <c r="AN51" s="643">
        <f t="shared" si="22"/>
        <v>1.5307909834999998</v>
      </c>
      <c r="AO51" s="643">
        <f t="shared" si="36"/>
        <v>5.3254486790300675</v>
      </c>
      <c r="AP51" s="649">
        <f t="shared" si="24"/>
        <v>4.2594263038410354</v>
      </c>
      <c r="AQ51" s="10"/>
    </row>
    <row r="52" spans="1:43" x14ac:dyDescent="0.2">
      <c r="A52" s="1070">
        <v>2048</v>
      </c>
      <c r="B52" s="512">
        <v>22.793049</v>
      </c>
      <c r="C52" s="512">
        <v>34.002827000000003</v>
      </c>
      <c r="D52" s="512">
        <v>30.564876999999999</v>
      </c>
      <c r="E52" s="512">
        <v>22.876764000000001</v>
      </c>
      <c r="F52" s="512">
        <v>29.22777</v>
      </c>
      <c r="G52" s="512">
        <v>16.141355999999998</v>
      </c>
      <c r="H52" s="512">
        <v>12.861394000000001</v>
      </c>
      <c r="I52" s="512">
        <v>36.703105999999998</v>
      </c>
      <c r="J52" s="1424">
        <f t="shared" si="32"/>
        <v>30.709634490562621</v>
      </c>
      <c r="K52" s="648">
        <v>2048</v>
      </c>
      <c r="L52" s="643">
        <f t="shared" si="2"/>
        <v>3.1613958963000002</v>
      </c>
      <c r="M52" s="643">
        <f t="shared" si="3"/>
        <v>4.7161921049000002</v>
      </c>
      <c r="N52" s="643">
        <f t="shared" si="4"/>
        <v>4.2393484398999997</v>
      </c>
      <c r="O52" s="643">
        <f t="shared" si="5"/>
        <v>3.1730071668000002</v>
      </c>
      <c r="P52" s="643">
        <f t="shared" si="6"/>
        <v>4.0538916990000002</v>
      </c>
      <c r="Q52" s="643">
        <f t="shared" si="7"/>
        <v>2.2388060771999996</v>
      </c>
      <c r="R52" s="643">
        <f t="shared" si="8"/>
        <v>1.7838753478</v>
      </c>
      <c r="S52" s="643">
        <f t="shared" si="34"/>
        <v>5.1562193076539282</v>
      </c>
      <c r="T52" s="649">
        <f t="shared" si="10"/>
        <v>4.2594263038410354</v>
      </c>
      <c r="U52" s="1666">
        <f>'S-curves'!AN37</f>
        <v>1.0128662537190456</v>
      </c>
      <c r="W52" s="505">
        <v>2048</v>
      </c>
      <c r="X52" s="512">
        <f t="shared" si="31"/>
        <v>17.851898517482521</v>
      </c>
      <c r="Y52" s="512">
        <f t="shared" si="27"/>
        <v>36.16664326363636</v>
      </c>
      <c r="Z52" s="512">
        <f t="shared" si="25"/>
        <v>29.153555957862672</v>
      </c>
      <c r="AA52" s="512">
        <f t="shared" si="28"/>
        <v>22.64799636</v>
      </c>
      <c r="AB52" s="512">
        <f t="shared" si="29"/>
        <v>27.904989612875585</v>
      </c>
      <c r="AC52" s="512">
        <f t="shared" si="30"/>
        <v>15.979942439999999</v>
      </c>
      <c r="AD52" s="512">
        <f t="shared" si="13"/>
        <v>11.131161623318386</v>
      </c>
      <c r="AE52" s="512">
        <f t="shared" si="26"/>
        <v>36.703105999999998</v>
      </c>
      <c r="AF52" s="752">
        <f t="shared" si="33"/>
        <v>30.709634490562621</v>
      </c>
      <c r="AG52" s="648">
        <v>2048</v>
      </c>
      <c r="AH52" s="643">
        <f t="shared" si="16"/>
        <v>2.4760583243748258</v>
      </c>
      <c r="AI52" s="643">
        <f t="shared" si="17"/>
        <v>5.0163134206663633</v>
      </c>
      <c r="AJ52" s="643">
        <f t="shared" si="18"/>
        <v>4.0435982113555529</v>
      </c>
      <c r="AK52" s="643">
        <f t="shared" si="19"/>
        <v>3.1412770951320002</v>
      </c>
      <c r="AL52" s="643">
        <f t="shared" si="20"/>
        <v>3.8704220593058438</v>
      </c>
      <c r="AM52" s="643">
        <f t="shared" si="21"/>
        <v>2.2164180164279998</v>
      </c>
      <c r="AN52" s="643">
        <f t="shared" si="22"/>
        <v>1.5438921171542601</v>
      </c>
      <c r="AO52" s="643">
        <f t="shared" si="36"/>
        <v>5.1562193076539282</v>
      </c>
      <c r="AP52" s="649">
        <f t="shared" si="24"/>
        <v>4.2594263038410354</v>
      </c>
      <c r="AQ52" s="10"/>
    </row>
    <row r="53" spans="1:43" x14ac:dyDescent="0.2">
      <c r="A53" s="1070">
        <v>2049</v>
      </c>
      <c r="B53" s="512">
        <v>22.745712000000001</v>
      </c>
      <c r="C53" s="512">
        <v>33.970126999999998</v>
      </c>
      <c r="D53" s="512">
        <v>30.581316000000001</v>
      </c>
      <c r="E53" s="512">
        <v>22.842226</v>
      </c>
      <c r="F53" s="512">
        <v>29.166457999999999</v>
      </c>
      <c r="G53" s="512">
        <v>16.134052000000001</v>
      </c>
      <c r="H53" s="512">
        <v>12.955595000000001</v>
      </c>
      <c r="I53" s="512">
        <v>36.565514</v>
      </c>
      <c r="J53" s="1424">
        <f t="shared" si="32"/>
        <v>30.709634490562621</v>
      </c>
      <c r="K53" s="648">
        <v>2049</v>
      </c>
      <c r="L53" s="643">
        <f t="shared" si="2"/>
        <v>3.1548302543999998</v>
      </c>
      <c r="M53" s="643">
        <f t="shared" si="3"/>
        <v>4.7116566148999999</v>
      </c>
      <c r="N53" s="643">
        <f t="shared" si="4"/>
        <v>4.2416285291999998</v>
      </c>
      <c r="O53" s="643">
        <f t="shared" si="5"/>
        <v>3.1682167462000002</v>
      </c>
      <c r="P53" s="643">
        <f t="shared" si="6"/>
        <v>4.0453877245999994</v>
      </c>
      <c r="Q53" s="643">
        <f t="shared" si="7"/>
        <v>2.2377930124000001</v>
      </c>
      <c r="R53" s="643">
        <f t="shared" si="8"/>
        <v>1.7969410265000001</v>
      </c>
      <c r="S53" s="643">
        <f t="shared" si="34"/>
        <v>5.0861667686433147</v>
      </c>
      <c r="T53" s="649">
        <f t="shared" si="10"/>
        <v>4.2594263038410354</v>
      </c>
      <c r="U53" s="1666">
        <f>'S-curves'!AN38</f>
        <v>1.0028649482287073</v>
      </c>
      <c r="W53" s="505">
        <v>2049</v>
      </c>
      <c r="X53" s="512">
        <f t="shared" si="31"/>
        <v>17.814823384615387</v>
      </c>
      <c r="Y53" s="512">
        <f t="shared" si="27"/>
        <v>36.131862354545447</v>
      </c>
      <c r="Z53" s="512">
        <f t="shared" si="25"/>
        <v>29.169235893574218</v>
      </c>
      <c r="AA53" s="512">
        <f t="shared" si="28"/>
        <v>22.613803740000002</v>
      </c>
      <c r="AB53" s="512">
        <f t="shared" si="29"/>
        <v>27.846452450336511</v>
      </c>
      <c r="AC53" s="512">
        <f t="shared" si="30"/>
        <v>15.972711480000001</v>
      </c>
      <c r="AD53" s="512">
        <f t="shared" si="13"/>
        <v>11.212689843049327</v>
      </c>
      <c r="AE53" s="512">
        <f t="shared" si="26"/>
        <v>36.565514</v>
      </c>
      <c r="AF53" s="752">
        <f t="shared" si="33"/>
        <v>30.709634490562621</v>
      </c>
      <c r="AG53" s="648">
        <v>2049</v>
      </c>
      <c r="AH53" s="643">
        <f t="shared" si="16"/>
        <v>2.4709160034461544</v>
      </c>
      <c r="AI53" s="643">
        <f t="shared" si="17"/>
        <v>5.0114893085754533</v>
      </c>
      <c r="AJ53" s="643">
        <f t="shared" si="18"/>
        <v>4.0457730184387435</v>
      </c>
      <c r="AK53" s="643">
        <f t="shared" si="19"/>
        <v>3.1365345787380003</v>
      </c>
      <c r="AL53" s="643">
        <f t="shared" si="20"/>
        <v>3.8623029548616739</v>
      </c>
      <c r="AM53" s="643">
        <f t="shared" si="21"/>
        <v>2.2154150822760004</v>
      </c>
      <c r="AN53" s="643">
        <f t="shared" si="22"/>
        <v>1.5552000812309417</v>
      </c>
      <c r="AO53" s="643">
        <f t="shared" si="36"/>
        <v>5.0861667686433147</v>
      </c>
      <c r="AP53" s="649">
        <f t="shared" si="24"/>
        <v>4.2594263038410354</v>
      </c>
      <c r="AQ53" s="10"/>
    </row>
    <row r="54" spans="1:43" ht="13.5" thickBot="1" x14ac:dyDescent="0.25">
      <c r="A54" s="1072">
        <v>2050</v>
      </c>
      <c r="B54" s="664">
        <v>22.661757999999999</v>
      </c>
      <c r="C54" s="664">
        <v>33.849567</v>
      </c>
      <c r="D54" s="664">
        <v>30.573440999999999</v>
      </c>
      <c r="E54" s="664">
        <v>22.833984000000001</v>
      </c>
      <c r="F54" s="664">
        <v>29.156123999999998</v>
      </c>
      <c r="G54" s="664">
        <v>16.508320000000001</v>
      </c>
      <c r="H54" s="664">
        <v>13.027087</v>
      </c>
      <c r="I54" s="664">
        <v>36.355133000000002</v>
      </c>
      <c r="J54" s="1425">
        <f t="shared" si="32"/>
        <v>30.709634490562621</v>
      </c>
      <c r="K54" s="652">
        <v>2050</v>
      </c>
      <c r="L54" s="653">
        <f t="shared" si="2"/>
        <v>3.1431858345999997</v>
      </c>
      <c r="M54" s="653">
        <f t="shared" si="3"/>
        <v>4.6949349428999998</v>
      </c>
      <c r="N54" s="653">
        <f t="shared" si="4"/>
        <v>4.2405362666999995</v>
      </c>
      <c r="O54" s="653">
        <f t="shared" si="5"/>
        <v>3.1670735807999999</v>
      </c>
      <c r="P54" s="653">
        <f t="shared" si="6"/>
        <v>4.0439543987999995</v>
      </c>
      <c r="Q54" s="653">
        <f t="shared" si="7"/>
        <v>2.289703984</v>
      </c>
      <c r="R54" s="653">
        <f t="shared" si="8"/>
        <v>1.8068569668999999</v>
      </c>
      <c r="S54" s="653">
        <f t="shared" si="34"/>
        <v>5.0447039546406431</v>
      </c>
      <c r="T54" s="654">
        <f t="shared" si="10"/>
        <v>4.2594263038410354</v>
      </c>
      <c r="U54" s="1666">
        <f>'S-curves'!AN39</f>
        <v>1.000445617595592</v>
      </c>
      <c r="W54" s="507">
        <v>2050</v>
      </c>
      <c r="X54" s="664">
        <f t="shared" si="31"/>
        <v>17.749069202797205</v>
      </c>
      <c r="Y54" s="664">
        <f t="shared" si="27"/>
        <v>36.00363035454545</v>
      </c>
      <c r="Z54" s="664">
        <f t="shared" si="25"/>
        <v>29.161724518567926</v>
      </c>
      <c r="AA54" s="664">
        <f t="shared" si="28"/>
        <v>22.605644160000001</v>
      </c>
      <c r="AB54" s="664">
        <f t="shared" si="29"/>
        <v>27.836586142963096</v>
      </c>
      <c r="AC54" s="664">
        <f t="shared" si="30"/>
        <v>16.3432368</v>
      </c>
      <c r="AD54" s="664">
        <f t="shared" si="13"/>
        <v>11.274564085201792</v>
      </c>
      <c r="AE54" s="664">
        <f t="shared" si="26"/>
        <v>36.355133000000002</v>
      </c>
      <c r="AF54" s="752">
        <f t="shared" si="33"/>
        <v>30.709634490562621</v>
      </c>
      <c r="AG54" s="652">
        <v>2050</v>
      </c>
      <c r="AH54" s="653">
        <f t="shared" si="16"/>
        <v>2.4617958984279724</v>
      </c>
      <c r="AI54" s="653">
        <f t="shared" si="17"/>
        <v>4.9937035301754538</v>
      </c>
      <c r="AJ54" s="653">
        <f t="shared" si="18"/>
        <v>4.0447311907253711</v>
      </c>
      <c r="AK54" s="653">
        <f t="shared" si="19"/>
        <v>3.1354028449919999</v>
      </c>
      <c r="AL54" s="653">
        <f t="shared" si="20"/>
        <v>3.8609344980289815</v>
      </c>
      <c r="AM54" s="653">
        <f t="shared" si="21"/>
        <v>2.2668069441599998</v>
      </c>
      <c r="AN54" s="653">
        <f t="shared" si="22"/>
        <v>1.5637820386174885</v>
      </c>
      <c r="AO54" s="653">
        <f t="shared" si="36"/>
        <v>5.0447039546406431</v>
      </c>
      <c r="AP54" s="654">
        <f t="shared" si="24"/>
        <v>4.2594263038410354</v>
      </c>
      <c r="AQ54" s="10"/>
    </row>
    <row r="55" spans="1:43" ht="12.75" hidden="1" customHeight="1" x14ac:dyDescent="0.2">
      <c r="A55" s="3">
        <v>2051</v>
      </c>
      <c r="B55" s="67" t="e">
        <f>+(B$44/#REF!)^0.2*#REF!</f>
        <v>#REF!</v>
      </c>
      <c r="C55" s="68" t="e">
        <f>+(#REF!/#REF!)^0.2*#REF!</f>
        <v>#REF!</v>
      </c>
      <c r="D55" s="69" t="e">
        <f>+(#REF!/#REF!)^0.2*#REF!</f>
        <v>#REF!</v>
      </c>
      <c r="E55" s="69" t="e">
        <f>+(#REF!/#REF!)^0.2*#REF!</f>
        <v>#REF!</v>
      </c>
      <c r="F55" s="69" t="e">
        <f>+(#REF!/#REF!)^0.2*#REF!</f>
        <v>#REF!</v>
      </c>
      <c r="G55" s="69" t="e">
        <f>+(#REF!/#REF!)^0.2*#REF!</f>
        <v>#REF!</v>
      </c>
      <c r="H55" s="69"/>
      <c r="I55" s="69"/>
      <c r="J55" s="69"/>
      <c r="K55" s="68"/>
      <c r="L55" s="70" t="e">
        <f t="shared" ref="L55:L58" si="37">+B55/8</f>
        <v>#REF!</v>
      </c>
      <c r="M55" s="71" t="e">
        <f t="shared" ref="M55:M58" si="38">+C55/8</f>
        <v>#REF!</v>
      </c>
      <c r="N55" s="62" t="e">
        <f t="shared" ref="N55:N58" si="39">+D55/8</f>
        <v>#REF!</v>
      </c>
      <c r="O55" s="62" t="e">
        <f t="shared" ref="O55:O58" si="40">+E55/8</f>
        <v>#REF!</v>
      </c>
      <c r="P55" s="62" t="e">
        <f t="shared" ref="P55:P58" si="41">+F55/8</f>
        <v>#REF!</v>
      </c>
      <c r="Q55" s="62"/>
      <c r="R55" s="62"/>
      <c r="S55" s="62" t="e">
        <f>+G55/8</f>
        <v>#REF!</v>
      </c>
      <c r="T55" s="62"/>
      <c r="W55" s="3">
        <v>2051</v>
      </c>
      <c r="X55" s="67" t="e">
        <f t="shared" si="31"/>
        <v>#REF!</v>
      </c>
      <c r="Y55" s="68" t="e">
        <f t="shared" si="27"/>
        <v>#REF!</v>
      </c>
      <c r="Z55" s="69" t="e">
        <f t="shared" si="25"/>
        <v>#REF!</v>
      </c>
      <c r="AA55" s="69" t="e">
        <f>+(#REF!/#REF!)^0.2*#REF!</f>
        <v>#REF!</v>
      </c>
      <c r="AB55" s="69" t="e">
        <f t="shared" si="29"/>
        <v>#REF!</v>
      </c>
      <c r="AC55" s="69" t="e">
        <f>+(#REF!/#REF!)^0.2*#REF!</f>
        <v>#REF!</v>
      </c>
      <c r="AD55" s="69"/>
      <c r="AE55" s="69"/>
      <c r="AF55" s="69"/>
      <c r="AG55" s="68"/>
      <c r="AH55" s="70" t="e">
        <f t="shared" ref="AH55:AL58" si="42">+X55/8</f>
        <v>#REF!</v>
      </c>
      <c r="AI55" s="71" t="e">
        <f t="shared" si="42"/>
        <v>#REF!</v>
      </c>
      <c r="AJ55" s="62" t="e">
        <f t="shared" si="42"/>
        <v>#REF!</v>
      </c>
      <c r="AK55" s="62" t="e">
        <f t="shared" si="42"/>
        <v>#REF!</v>
      </c>
      <c r="AL55" s="62" t="e">
        <f t="shared" si="42"/>
        <v>#REF!</v>
      </c>
      <c r="AM55" s="62"/>
      <c r="AN55" s="62"/>
      <c r="AO55" s="62">
        <f t="shared" si="36"/>
        <v>0</v>
      </c>
      <c r="AP55" s="62"/>
    </row>
    <row r="56" spans="1:43" ht="12.75" hidden="1" customHeight="1" x14ac:dyDescent="0.2">
      <c r="A56" s="72">
        <v>2052</v>
      </c>
      <c r="B56" s="66" t="e">
        <f>+(B$44/#REF!)^0.2*B55</f>
        <v>#REF!</v>
      </c>
      <c r="C56" s="68" t="e">
        <f>+(#REF!/#REF!)^0.2*C55</f>
        <v>#REF!</v>
      </c>
      <c r="D56" s="69" t="e">
        <f>+(#REF!/#REF!)^0.2*D55</f>
        <v>#REF!</v>
      </c>
      <c r="E56" s="69" t="e">
        <f>+(#REF!/#REF!)^0.2*E55</f>
        <v>#REF!</v>
      </c>
      <c r="F56" s="69" t="e">
        <f>+(#REF!/#REF!)^0.2*F55</f>
        <v>#REF!</v>
      </c>
      <c r="G56" s="69" t="e">
        <f>+(#REF!/#REF!)^0.2*G55</f>
        <v>#REF!</v>
      </c>
      <c r="H56" s="69"/>
      <c r="I56" s="69"/>
      <c r="J56" s="69"/>
      <c r="K56" s="68"/>
      <c r="L56" s="70" t="e">
        <f t="shared" si="37"/>
        <v>#REF!</v>
      </c>
      <c r="M56" s="65" t="e">
        <f t="shared" si="38"/>
        <v>#REF!</v>
      </c>
      <c r="N56" s="62" t="e">
        <f t="shared" si="39"/>
        <v>#REF!</v>
      </c>
      <c r="O56" s="62" t="e">
        <f t="shared" si="40"/>
        <v>#REF!</v>
      </c>
      <c r="P56" s="62" t="e">
        <f t="shared" si="41"/>
        <v>#REF!</v>
      </c>
      <c r="Q56" s="62"/>
      <c r="R56" s="62"/>
      <c r="S56" s="62" t="e">
        <f>+G56/8</f>
        <v>#REF!</v>
      </c>
      <c r="T56" s="62"/>
      <c r="W56" s="72">
        <v>2052</v>
      </c>
      <c r="X56" s="66" t="e">
        <f t="shared" si="31"/>
        <v>#REF!</v>
      </c>
      <c r="Y56" s="68" t="e">
        <f t="shared" si="27"/>
        <v>#REF!</v>
      </c>
      <c r="Z56" s="69" t="e">
        <f t="shared" si="25"/>
        <v>#REF!</v>
      </c>
      <c r="AA56" s="69" t="e">
        <f>+(#REF!/#REF!)^0.2*AA55</f>
        <v>#REF!</v>
      </c>
      <c r="AB56" s="69" t="e">
        <f t="shared" si="29"/>
        <v>#REF!</v>
      </c>
      <c r="AC56" s="69" t="e">
        <f>+(#REF!/#REF!)^0.2*AC55</f>
        <v>#REF!</v>
      </c>
      <c r="AD56" s="69"/>
      <c r="AE56" s="69"/>
      <c r="AF56" s="69"/>
      <c r="AG56" s="68"/>
      <c r="AH56" s="70" t="e">
        <f t="shared" si="42"/>
        <v>#REF!</v>
      </c>
      <c r="AI56" s="65" t="e">
        <f t="shared" si="42"/>
        <v>#REF!</v>
      </c>
      <c r="AJ56" s="62" t="e">
        <f t="shared" si="42"/>
        <v>#REF!</v>
      </c>
      <c r="AK56" s="62" t="e">
        <f t="shared" si="42"/>
        <v>#REF!</v>
      </c>
      <c r="AL56" s="62" t="e">
        <f t="shared" si="42"/>
        <v>#REF!</v>
      </c>
      <c r="AM56" s="62"/>
      <c r="AN56" s="62"/>
      <c r="AO56" s="62">
        <f t="shared" si="36"/>
        <v>0</v>
      </c>
      <c r="AP56" s="62"/>
    </row>
    <row r="57" spans="1:43" ht="12.75" hidden="1" customHeight="1" x14ac:dyDescent="0.2">
      <c r="A57" s="3">
        <v>2053</v>
      </c>
      <c r="B57" s="66" t="e">
        <f>+(B$44/#REF!)^0.2*B56</f>
        <v>#REF!</v>
      </c>
      <c r="C57" s="68" t="e">
        <f>+(#REF!/#REF!)^0.2*C56</f>
        <v>#REF!</v>
      </c>
      <c r="D57" s="69" t="e">
        <f>+(#REF!/#REF!)^0.2*D56</f>
        <v>#REF!</v>
      </c>
      <c r="E57" s="69" t="e">
        <f>+(#REF!/#REF!)^0.2*E56</f>
        <v>#REF!</v>
      </c>
      <c r="F57" s="69" t="e">
        <f>+(#REF!/#REF!)^0.2*F56</f>
        <v>#REF!</v>
      </c>
      <c r="G57" s="69" t="e">
        <f>+(#REF!/#REF!)^0.2*G56</f>
        <v>#REF!</v>
      </c>
      <c r="H57" s="69"/>
      <c r="I57" s="69"/>
      <c r="J57" s="69"/>
      <c r="K57" s="68"/>
      <c r="L57" s="70" t="e">
        <f t="shared" si="37"/>
        <v>#REF!</v>
      </c>
      <c r="M57" s="65" t="e">
        <f t="shared" si="38"/>
        <v>#REF!</v>
      </c>
      <c r="N57" s="62" t="e">
        <f t="shared" si="39"/>
        <v>#REF!</v>
      </c>
      <c r="O57" s="62" t="e">
        <f t="shared" si="40"/>
        <v>#REF!</v>
      </c>
      <c r="P57" s="62" t="e">
        <f t="shared" si="41"/>
        <v>#REF!</v>
      </c>
      <c r="Q57" s="62"/>
      <c r="R57" s="62"/>
      <c r="S57" s="62" t="e">
        <f>+G57/8</f>
        <v>#REF!</v>
      </c>
      <c r="T57" s="62"/>
      <c r="W57" s="3">
        <v>2053</v>
      </c>
      <c r="X57" s="66" t="e">
        <f t="shared" si="31"/>
        <v>#REF!</v>
      </c>
      <c r="Y57" s="68" t="e">
        <f t="shared" si="27"/>
        <v>#REF!</v>
      </c>
      <c r="Z57" s="69" t="e">
        <f t="shared" si="25"/>
        <v>#REF!</v>
      </c>
      <c r="AA57" s="69" t="e">
        <f>+(#REF!/#REF!)^0.2*AA56</f>
        <v>#REF!</v>
      </c>
      <c r="AB57" s="69" t="e">
        <f t="shared" si="29"/>
        <v>#REF!</v>
      </c>
      <c r="AC57" s="69" t="e">
        <f>+(#REF!/#REF!)^0.2*AC56</f>
        <v>#REF!</v>
      </c>
      <c r="AD57" s="69"/>
      <c r="AE57" s="69"/>
      <c r="AF57" s="69"/>
      <c r="AG57" s="68"/>
      <c r="AH57" s="70" t="e">
        <f t="shared" si="42"/>
        <v>#REF!</v>
      </c>
      <c r="AI57" s="65" t="e">
        <f t="shared" si="42"/>
        <v>#REF!</v>
      </c>
      <c r="AJ57" s="62" t="e">
        <f t="shared" si="42"/>
        <v>#REF!</v>
      </c>
      <c r="AK57" s="62" t="e">
        <f t="shared" si="42"/>
        <v>#REF!</v>
      </c>
      <c r="AL57" s="62" t="e">
        <f t="shared" si="42"/>
        <v>#REF!</v>
      </c>
      <c r="AM57" s="62"/>
      <c r="AN57" s="62"/>
      <c r="AO57" s="62">
        <f t="shared" si="36"/>
        <v>0</v>
      </c>
      <c r="AP57" s="62"/>
    </row>
    <row r="58" spans="1:43" ht="12.75" hidden="1" customHeight="1" x14ac:dyDescent="0.2">
      <c r="A58" s="72">
        <v>2054</v>
      </c>
      <c r="B58" s="66" t="e">
        <f>+(B$44/#REF!)^0.2*B57</f>
        <v>#REF!</v>
      </c>
      <c r="C58" s="68" t="e">
        <f>+(#REF!/#REF!)^0.2*C57</f>
        <v>#REF!</v>
      </c>
      <c r="D58" s="69" t="e">
        <f>+(#REF!/#REF!)^0.2*D57</f>
        <v>#REF!</v>
      </c>
      <c r="E58" s="69" t="e">
        <f>+(#REF!/#REF!)^0.2*E57</f>
        <v>#REF!</v>
      </c>
      <c r="F58" s="69" t="e">
        <f>+(#REF!/#REF!)^0.2*F57</f>
        <v>#REF!</v>
      </c>
      <c r="G58" s="69" t="e">
        <f>+(#REF!/#REF!)^0.2*G57</f>
        <v>#REF!</v>
      </c>
      <c r="H58" s="69"/>
      <c r="I58" s="69"/>
      <c r="J58" s="69"/>
      <c r="K58" s="68"/>
      <c r="L58" s="70" t="e">
        <f t="shared" si="37"/>
        <v>#REF!</v>
      </c>
      <c r="M58" s="65" t="e">
        <f t="shared" si="38"/>
        <v>#REF!</v>
      </c>
      <c r="N58" s="62" t="e">
        <f t="shared" si="39"/>
        <v>#REF!</v>
      </c>
      <c r="O58" s="62" t="e">
        <f t="shared" si="40"/>
        <v>#REF!</v>
      </c>
      <c r="P58" s="62" t="e">
        <f t="shared" si="41"/>
        <v>#REF!</v>
      </c>
      <c r="Q58" s="62"/>
      <c r="R58" s="62"/>
      <c r="S58" s="62" t="e">
        <f>+G58/8</f>
        <v>#REF!</v>
      </c>
      <c r="T58" s="62"/>
      <c r="W58" s="72">
        <v>2054</v>
      </c>
      <c r="X58" s="66" t="e">
        <f t="shared" si="31"/>
        <v>#REF!</v>
      </c>
      <c r="Y58" s="68" t="e">
        <f t="shared" si="27"/>
        <v>#REF!</v>
      </c>
      <c r="Z58" s="69" t="e">
        <f t="shared" si="25"/>
        <v>#REF!</v>
      </c>
      <c r="AA58" s="69" t="e">
        <f>+(#REF!/#REF!)^0.2*AA57</f>
        <v>#REF!</v>
      </c>
      <c r="AB58" s="69" t="e">
        <f t="shared" si="29"/>
        <v>#REF!</v>
      </c>
      <c r="AC58" s="69" t="e">
        <f>+(#REF!/#REF!)^0.2*AC57</f>
        <v>#REF!</v>
      </c>
      <c r="AD58" s="69"/>
      <c r="AE58" s="69"/>
      <c r="AF58" s="69"/>
      <c r="AG58" s="68"/>
      <c r="AH58" s="70" t="e">
        <f t="shared" si="42"/>
        <v>#REF!</v>
      </c>
      <c r="AI58" s="65" t="e">
        <f t="shared" si="42"/>
        <v>#REF!</v>
      </c>
      <c r="AJ58" s="62" t="e">
        <f t="shared" si="42"/>
        <v>#REF!</v>
      </c>
      <c r="AK58" s="62" t="e">
        <f t="shared" si="42"/>
        <v>#REF!</v>
      </c>
      <c r="AL58" s="62" t="e">
        <f t="shared" si="42"/>
        <v>#REF!</v>
      </c>
      <c r="AM58" s="62"/>
      <c r="AN58" s="62"/>
      <c r="AO58" s="62">
        <f t="shared" si="36"/>
        <v>0</v>
      </c>
      <c r="AP58" s="62"/>
    </row>
    <row r="59" spans="1:43" x14ac:dyDescent="0.2">
      <c r="C59" s="62"/>
      <c r="F59" s="69"/>
      <c r="G59" s="73"/>
      <c r="H59" s="73"/>
      <c r="I59" s="73"/>
      <c r="J59" s="73"/>
      <c r="K59" s="511"/>
      <c r="L59" s="10"/>
      <c r="M59" s="10"/>
      <c r="N59" s="10"/>
      <c r="O59" s="10"/>
      <c r="P59" s="10"/>
      <c r="Q59" s="10"/>
      <c r="R59" s="10"/>
      <c r="S59" s="10"/>
      <c r="T59" s="10"/>
      <c r="Y59" s="62"/>
      <c r="AA59" s="7"/>
      <c r="AB59" s="69"/>
      <c r="AC59" s="73"/>
      <c r="AD59" s="73"/>
      <c r="AE59" s="73"/>
      <c r="AF59" s="73"/>
      <c r="AG59" s="511"/>
      <c r="AH59" s="10"/>
      <c r="AI59" s="10"/>
      <c r="AJ59" s="10"/>
      <c r="AK59" s="10"/>
      <c r="AL59" s="10"/>
      <c r="AM59" s="10"/>
      <c r="AN59" s="10"/>
      <c r="AO59" s="10"/>
      <c r="AP59" s="10"/>
    </row>
    <row r="60" spans="1:43" x14ac:dyDescent="0.2">
      <c r="A60" s="61" t="s">
        <v>211</v>
      </c>
      <c r="F60" s="69"/>
      <c r="J60" s="61" t="s">
        <v>379</v>
      </c>
      <c r="W60" s="61" t="s">
        <v>211</v>
      </c>
      <c r="AA60" s="7"/>
      <c r="AB60" s="69"/>
      <c r="AC60" s="7"/>
      <c r="AD60" s="7"/>
      <c r="AE60" s="7"/>
      <c r="AF60" s="61" t="s">
        <v>379</v>
      </c>
      <c r="AG60" s="57"/>
    </row>
    <row r="61" spans="1:43" ht="13.5" thickBot="1" x14ac:dyDescent="0.25">
      <c r="A61" s="671" t="s">
        <v>212</v>
      </c>
      <c r="F61" s="69"/>
      <c r="K61" s="7" t="s">
        <v>367</v>
      </c>
      <c r="W61" s="671" t="s">
        <v>212</v>
      </c>
      <c r="AA61" s="7"/>
      <c r="AB61" s="69"/>
      <c r="AC61" s="7"/>
      <c r="AD61" s="7"/>
      <c r="AF61" s="57"/>
      <c r="AG61" s="7" t="s">
        <v>367</v>
      </c>
    </row>
    <row r="62" spans="1:43" x14ac:dyDescent="0.2">
      <c r="A62" s="74" t="s">
        <v>7</v>
      </c>
      <c r="J62" s="1068">
        <v>2007</v>
      </c>
      <c r="K62" s="752">
        <v>10</v>
      </c>
      <c r="W62" s="74" t="s">
        <v>7</v>
      </c>
      <c r="AA62" s="7"/>
      <c r="AB62" s="7"/>
      <c r="AC62" s="7"/>
      <c r="AD62" s="7"/>
      <c r="AF62" s="1398">
        <v>2007</v>
      </c>
      <c r="AG62" s="752">
        <v>10</v>
      </c>
    </row>
    <row r="63" spans="1:43" x14ac:dyDescent="0.2">
      <c r="A63" s="3" t="s">
        <v>8</v>
      </c>
      <c r="J63" s="508">
        <v>2008</v>
      </c>
      <c r="K63" s="752">
        <v>10</v>
      </c>
      <c r="W63" s="3" t="s">
        <v>8</v>
      </c>
      <c r="AA63" s="7"/>
      <c r="AB63" s="7"/>
      <c r="AC63" s="7"/>
      <c r="AD63" s="7"/>
      <c r="AF63" s="510">
        <v>2008</v>
      </c>
      <c r="AG63" s="752">
        <v>10</v>
      </c>
    </row>
    <row r="64" spans="1:43" x14ac:dyDescent="0.2">
      <c r="J64" s="508">
        <v>2009</v>
      </c>
      <c r="K64" s="752">
        <v>10</v>
      </c>
      <c r="AF64" s="510">
        <v>2009</v>
      </c>
      <c r="AG64" s="752">
        <v>10</v>
      </c>
    </row>
    <row r="65" spans="2:33" x14ac:dyDescent="0.2">
      <c r="J65" s="509">
        <v>2010</v>
      </c>
      <c r="K65" s="752">
        <v>10</v>
      </c>
      <c r="AF65" s="510">
        <v>2010</v>
      </c>
      <c r="AG65" s="752">
        <v>10</v>
      </c>
    </row>
    <row r="66" spans="2:33" x14ac:dyDescent="0.2">
      <c r="J66" s="510">
        <v>2011</v>
      </c>
      <c r="K66" s="752">
        <v>10</v>
      </c>
      <c r="AF66" s="510">
        <v>2011</v>
      </c>
      <c r="AG66" s="752">
        <v>10</v>
      </c>
    </row>
    <row r="67" spans="2:33" x14ac:dyDescent="0.2">
      <c r="J67" s="1070">
        <v>2012</v>
      </c>
      <c r="K67" s="752">
        <v>10</v>
      </c>
      <c r="AF67" s="1070">
        <v>2012</v>
      </c>
      <c r="AG67" s="752">
        <v>10</v>
      </c>
    </row>
    <row r="68" spans="2:33" x14ac:dyDescent="0.2">
      <c r="J68" s="1070">
        <v>2013</v>
      </c>
      <c r="K68" s="752">
        <v>10</v>
      </c>
      <c r="AF68" s="1070">
        <v>2013</v>
      </c>
      <c r="AG68" s="752">
        <v>10</v>
      </c>
    </row>
    <row r="69" spans="2:33" x14ac:dyDescent="0.2">
      <c r="J69" s="1070">
        <v>2014</v>
      </c>
      <c r="K69" s="752">
        <v>10</v>
      </c>
      <c r="AF69" s="1070">
        <v>2014</v>
      </c>
      <c r="AG69" s="752">
        <v>10</v>
      </c>
    </row>
    <row r="70" spans="2:33" x14ac:dyDescent="0.2">
      <c r="J70" s="1071">
        <v>2015</v>
      </c>
      <c r="K70" s="752">
        <v>14</v>
      </c>
      <c r="AF70" s="1070">
        <v>2015</v>
      </c>
      <c r="AG70" s="752">
        <v>10</v>
      </c>
    </row>
    <row r="71" spans="2:33" x14ac:dyDescent="0.2">
      <c r="B71" s="75"/>
      <c r="D71" s="75"/>
      <c r="J71" s="1070">
        <v>2016</v>
      </c>
      <c r="K71" s="751">
        <v>14</v>
      </c>
      <c r="AF71" s="1070">
        <v>2016</v>
      </c>
      <c r="AG71" s="751">
        <v>10</v>
      </c>
    </row>
    <row r="72" spans="2:33" x14ac:dyDescent="0.2">
      <c r="B72" s="75"/>
      <c r="D72" s="75"/>
      <c r="J72" s="1070">
        <v>2017</v>
      </c>
      <c r="K72" s="752">
        <v>14</v>
      </c>
      <c r="AF72" s="1070">
        <v>2017</v>
      </c>
      <c r="AG72" s="752">
        <v>10</v>
      </c>
    </row>
    <row r="73" spans="2:33" x14ac:dyDescent="0.2">
      <c r="B73" s="75"/>
      <c r="D73" s="75"/>
      <c r="J73" s="1070">
        <v>2018</v>
      </c>
      <c r="K73" s="752">
        <v>14</v>
      </c>
      <c r="AF73" s="1070">
        <v>2018</v>
      </c>
      <c r="AG73" s="752">
        <v>10</v>
      </c>
    </row>
    <row r="74" spans="2:33" x14ac:dyDescent="0.2">
      <c r="B74" s="75"/>
      <c r="D74" s="75"/>
      <c r="J74" s="1070">
        <v>2019</v>
      </c>
      <c r="K74" s="752">
        <v>14</v>
      </c>
      <c r="AF74" s="1070">
        <v>2019</v>
      </c>
      <c r="AG74" s="752">
        <v>10</v>
      </c>
    </row>
    <row r="75" spans="2:33" x14ac:dyDescent="0.2">
      <c r="B75" s="75"/>
      <c r="D75" s="75"/>
      <c r="J75" s="1071">
        <v>2020</v>
      </c>
      <c r="K75" s="752">
        <v>14</v>
      </c>
      <c r="AF75" s="1070">
        <v>2020</v>
      </c>
      <c r="AG75" s="752">
        <v>10</v>
      </c>
    </row>
    <row r="76" spans="2:33" x14ac:dyDescent="0.2">
      <c r="B76" s="75"/>
      <c r="D76" s="75"/>
      <c r="J76" s="1070">
        <v>2021</v>
      </c>
      <c r="K76" s="752">
        <v>14</v>
      </c>
      <c r="AF76" s="1070">
        <v>2021</v>
      </c>
      <c r="AG76" s="752">
        <v>9.6</v>
      </c>
    </row>
    <row r="77" spans="2:33" x14ac:dyDescent="0.2">
      <c r="B77" s="75"/>
      <c r="D77" s="75"/>
      <c r="J77" s="1070">
        <v>2022</v>
      </c>
      <c r="K77" s="752">
        <v>14</v>
      </c>
      <c r="AF77" s="1070">
        <v>2022</v>
      </c>
      <c r="AG77" s="752">
        <v>8.9</v>
      </c>
    </row>
    <row r="78" spans="2:33" x14ac:dyDescent="0.2">
      <c r="B78" s="75"/>
      <c r="D78" s="75"/>
      <c r="J78" s="1070">
        <v>2023</v>
      </c>
      <c r="K78" s="752">
        <v>12.5</v>
      </c>
      <c r="AF78" s="1070">
        <v>2023</v>
      </c>
      <c r="AG78" s="752">
        <v>7.7</v>
      </c>
    </row>
    <row r="79" spans="2:33" x14ac:dyDescent="0.2">
      <c r="B79" s="75"/>
      <c r="D79" s="75"/>
      <c r="J79" s="1070">
        <v>2024</v>
      </c>
      <c r="K79" s="752">
        <v>9</v>
      </c>
      <c r="AF79" s="1070">
        <v>2024</v>
      </c>
      <c r="AG79" s="752">
        <v>6.5</v>
      </c>
    </row>
    <row r="80" spans="2:33" x14ac:dyDescent="0.2">
      <c r="B80" s="75"/>
      <c r="D80" s="75"/>
      <c r="J80" s="1071">
        <v>2025</v>
      </c>
      <c r="K80" s="752">
        <v>7</v>
      </c>
      <c r="AF80" s="1070">
        <v>2025</v>
      </c>
      <c r="AG80" s="752">
        <v>6</v>
      </c>
    </row>
    <row r="81" spans="2:33" x14ac:dyDescent="0.2">
      <c r="B81" s="75"/>
      <c r="D81" s="75"/>
      <c r="J81" s="1070">
        <v>2026</v>
      </c>
      <c r="K81" s="752">
        <v>6.7</v>
      </c>
      <c r="AF81" s="1070">
        <v>2026</v>
      </c>
      <c r="AG81" s="752">
        <v>5.82</v>
      </c>
    </row>
    <row r="82" spans="2:33" x14ac:dyDescent="0.2">
      <c r="B82" s="75"/>
      <c r="D82" s="75"/>
      <c r="J82" s="1070">
        <v>2027</v>
      </c>
      <c r="K82" s="752">
        <v>6.5</v>
      </c>
      <c r="AF82" s="1070">
        <v>2027</v>
      </c>
      <c r="AG82" s="752">
        <v>5.68</v>
      </c>
    </row>
    <row r="83" spans="2:33" x14ac:dyDescent="0.2">
      <c r="B83" s="75"/>
      <c r="D83" s="75"/>
      <c r="J83" s="1070">
        <v>2028</v>
      </c>
      <c r="K83" s="752">
        <v>6.25</v>
      </c>
      <c r="AF83" s="1070">
        <v>2028</v>
      </c>
      <c r="AG83" s="752">
        <v>5.54</v>
      </c>
    </row>
    <row r="84" spans="2:33" x14ac:dyDescent="0.2">
      <c r="B84" s="75"/>
      <c r="D84" s="75"/>
      <c r="J84" s="1070">
        <v>2029</v>
      </c>
      <c r="K84" s="752">
        <v>6.05</v>
      </c>
      <c r="AF84" s="1070">
        <v>2029</v>
      </c>
      <c r="AG84" s="752">
        <v>5.46</v>
      </c>
    </row>
    <row r="85" spans="2:33" x14ac:dyDescent="0.2">
      <c r="B85" s="75"/>
      <c r="D85" s="75"/>
      <c r="J85" s="1071">
        <v>2030</v>
      </c>
      <c r="K85" s="752">
        <v>5.92</v>
      </c>
      <c r="AF85" s="1070">
        <v>2030</v>
      </c>
      <c r="AG85" s="752">
        <v>5.38</v>
      </c>
    </row>
    <row r="86" spans="2:33" x14ac:dyDescent="0.2">
      <c r="B86" s="75"/>
      <c r="D86" s="75"/>
      <c r="J86" s="1070">
        <v>2031</v>
      </c>
      <c r="K86" s="752">
        <v>5.75</v>
      </c>
      <c r="AF86" s="1070">
        <v>2031</v>
      </c>
      <c r="AG86" s="752">
        <v>5.3</v>
      </c>
    </row>
    <row r="87" spans="2:33" x14ac:dyDescent="0.2">
      <c r="B87" s="75"/>
      <c r="D87" s="75"/>
      <c r="J87" s="1070">
        <v>2032</v>
      </c>
      <c r="K87" s="752">
        <v>5.55</v>
      </c>
      <c r="AF87" s="1070">
        <v>2032</v>
      </c>
      <c r="AG87" s="752">
        <v>5.22</v>
      </c>
    </row>
    <row r="88" spans="2:33" x14ac:dyDescent="0.2">
      <c r="B88" s="75"/>
      <c r="D88" s="75"/>
      <c r="J88" s="1070">
        <v>2033</v>
      </c>
      <c r="K88" s="752">
        <v>5.36</v>
      </c>
      <c r="AF88" s="1070">
        <v>2033</v>
      </c>
      <c r="AG88" s="752">
        <v>5.14</v>
      </c>
    </row>
    <row r="89" spans="2:33" x14ac:dyDescent="0.2">
      <c r="B89" s="75"/>
      <c r="D89" s="75"/>
      <c r="J89" s="1070">
        <v>2034</v>
      </c>
      <c r="K89" s="752">
        <v>5.17</v>
      </c>
      <c r="AF89" s="1070">
        <v>2034</v>
      </c>
      <c r="AG89" s="752">
        <v>5.07</v>
      </c>
    </row>
    <row r="90" spans="2:33" x14ac:dyDescent="0.2">
      <c r="B90" s="75"/>
      <c r="D90" s="75"/>
      <c r="J90" s="1071">
        <v>2035</v>
      </c>
      <c r="K90" s="752">
        <v>5</v>
      </c>
      <c r="AF90" s="1070">
        <v>2035</v>
      </c>
      <c r="AG90" s="752">
        <v>5</v>
      </c>
    </row>
    <row r="91" spans="2:33" x14ac:dyDescent="0.2">
      <c r="B91" s="75"/>
      <c r="D91" s="75"/>
      <c r="J91" s="1070">
        <v>2036</v>
      </c>
      <c r="K91" s="752">
        <v>4.8499999999999996</v>
      </c>
      <c r="AF91" s="1070">
        <v>2036</v>
      </c>
      <c r="AG91" s="752">
        <v>4.8499999999999996</v>
      </c>
    </row>
    <row r="92" spans="2:33" x14ac:dyDescent="0.2">
      <c r="B92" s="75"/>
      <c r="D92" s="75"/>
      <c r="J92" s="1070">
        <v>2037</v>
      </c>
      <c r="K92" s="752">
        <v>4.7300000000000004</v>
      </c>
      <c r="AF92" s="1070">
        <v>2037</v>
      </c>
      <c r="AG92" s="752">
        <v>4.7300000000000004</v>
      </c>
    </row>
    <row r="93" spans="2:33" x14ac:dyDescent="0.2">
      <c r="B93" s="75"/>
      <c r="D93" s="75"/>
      <c r="J93" s="1070">
        <v>2038</v>
      </c>
      <c r="K93" s="752">
        <v>4.62</v>
      </c>
      <c r="AF93" s="1070">
        <v>2038</v>
      </c>
      <c r="AG93" s="752">
        <v>4.62</v>
      </c>
    </row>
    <row r="94" spans="2:33" x14ac:dyDescent="0.2">
      <c r="B94" s="75"/>
      <c r="D94" s="75"/>
      <c r="J94" s="1070">
        <v>2039</v>
      </c>
      <c r="K94" s="752">
        <v>4.5</v>
      </c>
      <c r="AF94" s="1070">
        <v>2039</v>
      </c>
      <c r="AG94" s="752">
        <v>4.5</v>
      </c>
    </row>
    <row r="95" spans="2:33" x14ac:dyDescent="0.2">
      <c r="J95" s="1071">
        <v>2040</v>
      </c>
      <c r="K95" s="752">
        <v>4.4000000000000004</v>
      </c>
      <c r="AF95" s="1070">
        <v>2040</v>
      </c>
      <c r="AG95" s="752">
        <v>4.4000000000000004</v>
      </c>
    </row>
    <row r="96" spans="2:33" x14ac:dyDescent="0.2">
      <c r="J96" s="1070">
        <v>2041</v>
      </c>
      <c r="K96" s="752">
        <v>4.3</v>
      </c>
      <c r="AF96" s="1070">
        <v>2041</v>
      </c>
      <c r="AG96" s="752">
        <v>4.3</v>
      </c>
    </row>
    <row r="97" spans="10:33" x14ac:dyDescent="0.2">
      <c r="J97" s="1070">
        <v>2042</v>
      </c>
      <c r="K97" s="752">
        <v>4.22</v>
      </c>
      <c r="AF97" s="1070">
        <v>2042</v>
      </c>
      <c r="AG97" s="752">
        <v>4.22</v>
      </c>
    </row>
    <row r="98" spans="10:33" x14ac:dyDescent="0.2">
      <c r="J98" s="1070">
        <v>2043</v>
      </c>
      <c r="K98" s="752">
        <v>4.1500000000000004</v>
      </c>
      <c r="AF98" s="1070">
        <v>2043</v>
      </c>
      <c r="AG98" s="752">
        <v>4.1500000000000004</v>
      </c>
    </row>
    <row r="99" spans="10:33" x14ac:dyDescent="0.2">
      <c r="J99" s="1070">
        <v>2044</v>
      </c>
      <c r="K99" s="752">
        <v>4.07</v>
      </c>
      <c r="AF99" s="1070">
        <v>2044</v>
      </c>
      <c r="AG99" s="752">
        <v>4.07</v>
      </c>
    </row>
    <row r="100" spans="10:33" x14ac:dyDescent="0.2">
      <c r="J100" s="1071">
        <v>2045</v>
      </c>
      <c r="K100" s="752">
        <v>4</v>
      </c>
      <c r="AF100" s="1070">
        <v>2045</v>
      </c>
      <c r="AG100" s="752">
        <v>4</v>
      </c>
    </row>
    <row r="101" spans="10:33" x14ac:dyDescent="0.2">
      <c r="J101" s="1070">
        <v>2046</v>
      </c>
      <c r="K101" s="752">
        <v>4</v>
      </c>
      <c r="AF101" s="1070">
        <v>2046</v>
      </c>
      <c r="AG101" s="752">
        <v>4</v>
      </c>
    </row>
    <row r="102" spans="10:33" x14ac:dyDescent="0.2">
      <c r="J102" s="1070">
        <v>2047</v>
      </c>
      <c r="K102" s="752">
        <v>4</v>
      </c>
      <c r="AF102" s="1070">
        <v>2047</v>
      </c>
      <c r="AG102" s="752">
        <v>4</v>
      </c>
    </row>
    <row r="103" spans="10:33" x14ac:dyDescent="0.2">
      <c r="J103" s="1070">
        <v>2048</v>
      </c>
      <c r="K103" s="752">
        <v>4</v>
      </c>
      <c r="AF103" s="1070">
        <v>2048</v>
      </c>
      <c r="AG103" s="752">
        <v>4</v>
      </c>
    </row>
    <row r="104" spans="10:33" x14ac:dyDescent="0.2">
      <c r="J104" s="1070">
        <v>2049</v>
      </c>
      <c r="K104" s="752">
        <v>4</v>
      </c>
      <c r="AF104" s="1070">
        <v>2049</v>
      </c>
      <c r="AG104" s="752">
        <v>4</v>
      </c>
    </row>
    <row r="105" spans="10:33" ht="13.5" thickBot="1" x14ac:dyDescent="0.25">
      <c r="J105" s="1072">
        <v>2050</v>
      </c>
      <c r="K105" s="753">
        <v>4</v>
      </c>
      <c r="AF105" s="1399">
        <v>2050</v>
      </c>
      <c r="AG105" s="753">
        <v>4</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W61" r:id="rId1" location="/?id=3-AEO2018&amp;cases=ref2018&amp;sourcekey=0" xr:uid="{00000000-0004-0000-0500-000000000000}"/>
    <hyperlink ref="A61" r:id="rId2" location="/?id=3-AEO2018&amp;cases=ref2018&amp;sourcekey=0" xr:uid="{00000000-0004-0000-0500-000001000000}"/>
  </hyperlinks>
  <pageMargins left="0.75" right="0.75" top="1" bottom="1" header="0.5" footer="0.5"/>
  <pageSetup scale="22" orientation="portrait" horizontalDpi="4294967293" verticalDpi="300" r:id="rId3"/>
  <headerFooter alignWithMargins="0">
    <oddFooter>&amp;L_________________________
Laboratory Analytic Team - TAE&amp;R_________________________
&amp;F, &amp;A</oddFooter>
  </headerFooter>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2" zoomScale="80" zoomScaleNormal="80" workbookViewId="0">
      <pane xSplit="1" topLeftCell="B1" activePane="topRight" state="frozen"/>
      <selection pane="topRight" activeCell="L24" sqref="L24"/>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7109375" style="245" customWidth="1"/>
    <col min="11" max="11" width="10.140625" style="245" customWidth="1"/>
    <col min="12" max="13" width="12.28515625"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ustomWidth="1"/>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10" style="245" customWidth="1"/>
    <col min="29" max="29" width="11.140625" style="245" customWidth="1"/>
    <col min="30" max="30" width="10.5703125" style="245" customWidth="1"/>
    <col min="31" max="31" width="10" style="245" customWidth="1"/>
    <col min="32" max="32" width="11.85546875" style="245" customWidth="1"/>
    <col min="33" max="34" width="8.42578125" style="245" customWidth="1"/>
    <col min="35" max="36" width="8.42578125" style="341" customWidth="1"/>
    <col min="37" max="37" width="9.42578125" style="341" customWidth="1"/>
    <col min="38" max="39" width="8.42578125" style="341" customWidth="1"/>
    <col min="40" max="40" width="9.5703125" style="245" customWidth="1"/>
    <col min="41" max="41" width="10.42578125" style="245" customWidth="1"/>
    <col min="42" max="42" width="9.28515625" style="245" customWidth="1"/>
    <col min="43" max="43" width="9.42578125" style="245" customWidth="1"/>
    <col min="44" max="44" width="8.42578125" style="245"/>
    <col min="45" max="45" width="11.140625" style="245" customWidth="1"/>
    <col min="46" max="46" width="9" style="245" customWidth="1"/>
    <col min="47" max="47" width="8.42578125" style="245"/>
    <col min="48" max="48" width="9" style="245" customWidth="1"/>
    <col min="49" max="50" width="8.42578125" style="245"/>
    <col min="51" max="52" width="8.5703125" style="245" customWidth="1"/>
    <col min="53" max="53" width="9.28515625" style="245" customWidth="1"/>
    <col min="54" max="61" width="8.5703125" style="245" customWidth="1"/>
    <col min="62" max="62" width="13" style="245" customWidth="1"/>
    <col min="63" max="16384" width="8.42578125" style="245"/>
  </cols>
  <sheetData>
    <row r="1" spans="2:64" ht="15.75" x14ac:dyDescent="0.25">
      <c r="B1" s="58" t="s">
        <v>248</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2" t="s">
        <v>53</v>
      </c>
      <c r="C3" s="1573"/>
      <c r="D3" s="254">
        <f>'Run Model'!C6</f>
        <v>7.4999999999999997E-2</v>
      </c>
      <c r="F3"/>
      <c r="G3"/>
      <c r="H3"/>
      <c r="L3" s="245" t="s">
        <v>390</v>
      </c>
      <c r="N3" s="245" t="s">
        <v>127</v>
      </c>
      <c r="P3" s="1555" t="s">
        <v>206</v>
      </c>
      <c r="Q3" s="1556"/>
      <c r="R3" s="1556"/>
      <c r="S3" s="1556"/>
      <c r="T3" s="1556"/>
      <c r="U3" s="1557"/>
      <c r="Y3" s="221"/>
      <c r="AI3" s="245"/>
      <c r="AJ3" s="245"/>
      <c r="AK3" s="245"/>
      <c r="AL3" s="245"/>
      <c r="AM3" s="245"/>
    </row>
    <row r="4" spans="2:64" x14ac:dyDescent="0.2">
      <c r="B4" s="1572" t="s">
        <v>104</v>
      </c>
      <c r="C4" s="1573"/>
      <c r="D4" s="243" t="str">
        <f>'Run Model'!C7</f>
        <v>Moderate</v>
      </c>
      <c r="F4"/>
      <c r="G4"/>
      <c r="H4"/>
      <c r="N4" s="245" t="s">
        <v>126</v>
      </c>
      <c r="P4" s="1569">
        <v>43882.765983796293</v>
      </c>
      <c r="Q4" s="1556"/>
      <c r="R4" s="1556"/>
      <c r="S4" s="1556"/>
      <c r="T4" s="1556"/>
      <c r="U4" s="1557"/>
      <c r="V4" s="245" t="s">
        <v>188</v>
      </c>
      <c r="AI4" s="245"/>
      <c r="AJ4" s="245"/>
      <c r="AK4" s="245"/>
      <c r="AL4" s="245"/>
      <c r="AM4" s="245"/>
    </row>
    <row r="5" spans="2:64" x14ac:dyDescent="0.2">
      <c r="B5" s="1572" t="s">
        <v>118</v>
      </c>
      <c r="C5" s="1573"/>
      <c r="D5" s="243" t="s">
        <v>15</v>
      </c>
      <c r="F5"/>
      <c r="G5"/>
      <c r="H5"/>
      <c r="P5" s="1569">
        <v>43882.76599537037</v>
      </c>
      <c r="Q5" s="1556"/>
      <c r="R5" s="1556"/>
      <c r="S5" s="1556"/>
      <c r="T5" s="1556"/>
      <c r="U5" s="1557"/>
      <c r="V5" s="245" t="s">
        <v>15</v>
      </c>
      <c r="AI5" s="245"/>
      <c r="AJ5" s="245"/>
      <c r="AK5" s="245"/>
      <c r="AL5" s="245"/>
      <c r="AM5" s="245"/>
    </row>
    <row r="6" spans="2:64" x14ac:dyDescent="0.2">
      <c r="B6" s="1572" t="s">
        <v>68</v>
      </c>
      <c r="C6" s="1573"/>
      <c r="D6" s="256">
        <v>224042.00197938742</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261"/>
      <c r="AK8" s="262"/>
      <c r="AL8" s="262"/>
      <c r="AM8" s="262"/>
      <c r="BI8" s="263"/>
      <c r="BJ8" s="263"/>
      <c r="BK8" s="263"/>
      <c r="BL8" s="263"/>
    </row>
    <row r="9" spans="2:64" s="258" customFormat="1" ht="26.25" customHeight="1" thickBot="1" x14ac:dyDescent="0.25">
      <c r="B9" s="264"/>
      <c r="C9" s="265"/>
      <c r="D9" s="266"/>
      <c r="E9" s="266"/>
      <c r="F9" s="264"/>
      <c r="G9" s="830"/>
      <c r="H9" s="289"/>
      <c r="I9" s="289"/>
      <c r="J9" s="1543" t="s">
        <v>76</v>
      </c>
      <c r="K9" s="1544"/>
      <c r="L9" s="1564" t="s">
        <v>83</v>
      </c>
      <c r="M9" s="1565"/>
      <c r="N9" s="1570" t="s">
        <v>109</v>
      </c>
      <c r="O9" s="1570"/>
      <c r="P9" s="1570"/>
      <c r="Q9" s="1571"/>
      <c r="R9" s="691"/>
      <c r="S9" s="259"/>
      <c r="T9" s="260"/>
      <c r="AD9" s="890"/>
      <c r="AG9" s="261"/>
      <c r="AH9" s="613"/>
      <c r="AI9" s="613"/>
      <c r="AJ9" s="262"/>
      <c r="BF9" s="263"/>
      <c r="BG9" s="263"/>
      <c r="BH9" s="263"/>
      <c r="BI9" s="263"/>
      <c r="BJ9" s="263"/>
      <c r="BK9" s="263"/>
    </row>
    <row r="10" spans="2:64" s="258" customFormat="1" ht="39" customHeight="1" thickBot="1" x14ac:dyDescent="0.25">
      <c r="B10" s="291"/>
      <c r="C10" s="691" t="s">
        <v>75</v>
      </c>
      <c r="D10" s="691"/>
      <c r="E10" s="691"/>
      <c r="F10" s="831" t="s">
        <v>217</v>
      </c>
      <c r="G10" s="832" t="s">
        <v>216</v>
      </c>
      <c r="H10" s="941" t="s">
        <v>273</v>
      </c>
      <c r="I10" s="842" t="s">
        <v>81</v>
      </c>
      <c r="J10" s="1220" t="s">
        <v>292</v>
      </c>
      <c r="K10" s="1221" t="s">
        <v>293</v>
      </c>
      <c r="L10" s="674" t="s">
        <v>113</v>
      </c>
      <c r="M10" s="675" t="s">
        <v>84</v>
      </c>
      <c r="N10" s="672" t="s">
        <v>95</v>
      </c>
      <c r="O10" s="673" t="s">
        <v>112</v>
      </c>
      <c r="P10" s="673" t="s">
        <v>120</v>
      </c>
      <c r="Q10" s="675" t="s">
        <v>108</v>
      </c>
      <c r="R10" s="260"/>
      <c r="AD10" s="890"/>
      <c r="AE10" s="261"/>
      <c r="AF10" s="262"/>
      <c r="BD10" s="934"/>
      <c r="BE10" s="263"/>
      <c r="BF10" s="263"/>
      <c r="BG10" s="263"/>
      <c r="BH10" s="263"/>
      <c r="BI10" s="263"/>
    </row>
    <row r="11" spans="2:64" s="258" customFormat="1" x14ac:dyDescent="0.2">
      <c r="B11" s="688" t="s">
        <v>69</v>
      </c>
      <c r="C11" s="683" t="str">
        <f t="shared" ref="C11:C16" si="0">INDEX(TECH_OPT_PARAMS_Cls1,MATCH($B11,TECH_OPT_ROWS_Cls1,0),MATCH(C$10,TECH_OPT_COLS_Cls1,0))</f>
        <v>Conventional Diesel ICE</v>
      </c>
      <c r="D11" s="683"/>
      <c r="E11" s="683"/>
      <c r="F11" s="825" t="str">
        <f t="shared" ref="F11:O16" si="1">INDEX(TECH_OPT_PARAMS_Cls1,MATCH($B11,TECH_OPT_ROWS_Cls1,0),MATCH(F$10,TECH_OPT_COLS_Cls1,0))</f>
        <v>Diesel</v>
      </c>
      <c r="G11" s="829" t="str">
        <f t="shared" si="1"/>
        <v>N/A</v>
      </c>
      <c r="H11" s="1006" t="b">
        <f>INDEX(TECH_OPT_PARAMS_Cls1,MATCH($B11,TECH_OPT_ROWS_Cls1,0),MATCH(H$10,TECH_OPT_COLS_Cls1,0))</f>
        <v>0</v>
      </c>
      <c r="I11" s="843">
        <f t="shared" si="1"/>
        <v>0</v>
      </c>
      <c r="J11" s="1095">
        <f t="shared" si="1"/>
        <v>0</v>
      </c>
      <c r="K11" s="1096">
        <f t="shared" si="1"/>
        <v>0</v>
      </c>
      <c r="L11" s="1095">
        <f t="shared" si="1"/>
        <v>0</v>
      </c>
      <c r="M11" s="1096">
        <f t="shared" si="1"/>
        <v>0</v>
      </c>
      <c r="N11" s="1099">
        <f t="shared" si="1"/>
        <v>0</v>
      </c>
      <c r="O11" s="677">
        <f t="shared" si="1"/>
        <v>350</v>
      </c>
      <c r="P11" s="678">
        <f>$D$6*('Inputs 7&amp;8 SU'!$N8/('Inputs 7&amp;8 SU'!$O8*1000))/12</f>
        <v>0</v>
      </c>
      <c r="Q11" s="679">
        <f>$D$6*('Inputs 7&amp;8 Day'!$N8/('Inputs 7&amp;8 Day'!$O8*1000))/12</f>
        <v>0</v>
      </c>
      <c r="R11" s="260"/>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1004" t="b">
        <f t="shared" si="1"/>
        <v>0</v>
      </c>
      <c r="I12" s="844">
        <f t="shared" si="1"/>
        <v>2020</v>
      </c>
      <c r="J12" s="1097">
        <f t="shared" si="1"/>
        <v>0</v>
      </c>
      <c r="K12" s="1098">
        <f t="shared" si="1"/>
        <v>0.5</v>
      </c>
      <c r="L12" s="1097">
        <f t="shared" si="1"/>
        <v>5000</v>
      </c>
      <c r="M12" s="1098">
        <f t="shared" si="1"/>
        <v>100</v>
      </c>
      <c r="N12" s="840">
        <f t="shared" si="1"/>
        <v>0</v>
      </c>
      <c r="O12" s="255">
        <f t="shared" si="1"/>
        <v>350</v>
      </c>
      <c r="P12" s="276">
        <f>$D$6*('Inputs 7&amp;8 SU'!$N9/('Inputs 7&amp;8 SU'!$O9*1000))/12</f>
        <v>0</v>
      </c>
      <c r="Q12" s="277">
        <f>$D$6*('Inputs 7&amp;8 Day'!$N9/('Inputs 7&amp;8 Day'!$O9*1000))/12</f>
        <v>0</v>
      </c>
      <c r="R12" s="278"/>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1004" t="b">
        <f t="shared" si="1"/>
        <v>0</v>
      </c>
      <c r="I13" s="844">
        <f t="shared" si="1"/>
        <v>2020</v>
      </c>
      <c r="J13" s="1368">
        <f t="shared" si="1"/>
        <v>0</v>
      </c>
      <c r="K13" s="1098">
        <f t="shared" si="1"/>
        <v>0.5</v>
      </c>
      <c r="L13" s="1097">
        <f t="shared" si="1"/>
        <v>5000</v>
      </c>
      <c r="M13" s="1098">
        <f t="shared" si="1"/>
        <v>100</v>
      </c>
      <c r="N13" s="840">
        <f t="shared" si="1"/>
        <v>0</v>
      </c>
      <c r="O13" s="255">
        <f t="shared" si="1"/>
        <v>350</v>
      </c>
      <c r="P13" s="276">
        <f>$D$6*('Inputs 7&amp;8 SU'!$N10/('Inputs 7&amp;8 SU'!$O10*1000))/12</f>
        <v>0</v>
      </c>
      <c r="Q13" s="277">
        <f>$D$6*('Inputs 7&amp;8 Day'!$N10/('Inputs 7&amp;8 Day'!$O10*1000))/12</f>
        <v>0</v>
      </c>
      <c r="R13" s="278"/>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1004" t="b">
        <f t="shared" si="1"/>
        <v>0</v>
      </c>
      <c r="I14" s="844">
        <f t="shared" si="1"/>
        <v>2020</v>
      </c>
      <c r="J14" s="1368">
        <f t="shared" si="1"/>
        <v>0</v>
      </c>
      <c r="K14" s="1098">
        <f t="shared" si="1"/>
        <v>0.5</v>
      </c>
      <c r="L14" s="1097">
        <f t="shared" si="1"/>
        <v>5000</v>
      </c>
      <c r="M14" s="1098">
        <f t="shared" si="1"/>
        <v>100</v>
      </c>
      <c r="N14" s="840">
        <f t="shared" si="1"/>
        <v>0</v>
      </c>
      <c r="O14" s="255">
        <f t="shared" si="1"/>
        <v>350</v>
      </c>
      <c r="P14" s="809">
        <f>$D$6*('Inputs 7&amp;8 SU'!$N11/('Inputs 7&amp;8 SU'!$O11*1000))/12</f>
        <v>0</v>
      </c>
      <c r="Q14" s="810">
        <f>$D$6*('Inputs 7&amp;8 Day'!$N11/('Inputs 7&amp;8 Day'!$O11*1000))/12</f>
        <v>0</v>
      </c>
      <c r="R14" s="278"/>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1004" t="b">
        <f t="shared" si="1"/>
        <v>0</v>
      </c>
      <c r="I15" s="844">
        <f t="shared" si="1"/>
        <v>2020</v>
      </c>
      <c r="J15" s="1368">
        <f t="shared" si="1"/>
        <v>0</v>
      </c>
      <c r="K15" s="1098">
        <f t="shared" si="1"/>
        <v>0.5</v>
      </c>
      <c r="L15" s="1097">
        <f t="shared" si="1"/>
        <v>5000</v>
      </c>
      <c r="M15" s="1098">
        <f t="shared" si="1"/>
        <v>100</v>
      </c>
      <c r="N15" s="840">
        <f t="shared" si="1"/>
        <v>0</v>
      </c>
      <c r="O15" s="255">
        <f t="shared" si="1"/>
        <v>350</v>
      </c>
      <c r="P15" s="809">
        <f>$D$6*('Inputs 7&amp;8 SU'!$N12/('Inputs 7&amp;8 SU'!$O12*1000))/12</f>
        <v>0</v>
      </c>
      <c r="Q15" s="810">
        <f>$D$6*('Inputs 7&amp;8 Day'!$N12/('Inputs 7&amp;8 Day'!$O12*1000))/12</f>
        <v>0</v>
      </c>
      <c r="R15" s="278"/>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FCHEV</v>
      </c>
      <c r="D16" s="681"/>
      <c r="E16" s="681"/>
      <c r="F16" s="281" t="str">
        <f t="shared" si="1"/>
        <v>Hydrogen</v>
      </c>
      <c r="G16" s="280" t="str">
        <f t="shared" si="1"/>
        <v>N/A</v>
      </c>
      <c r="H16" s="1005" t="b">
        <f t="shared" si="1"/>
        <v>0</v>
      </c>
      <c r="I16" s="845">
        <f t="shared" si="1"/>
        <v>2020</v>
      </c>
      <c r="J16" s="281">
        <f t="shared" si="1"/>
        <v>0</v>
      </c>
      <c r="K16" s="280">
        <f t="shared" si="1"/>
        <v>0.5</v>
      </c>
      <c r="L16" s="281">
        <f t="shared" si="1"/>
        <v>5000</v>
      </c>
      <c r="M16" s="280">
        <f t="shared" si="1"/>
        <v>100</v>
      </c>
      <c r="N16" s="841">
        <f t="shared" si="1"/>
        <v>0</v>
      </c>
      <c r="O16" s="282">
        <f t="shared" si="1"/>
        <v>350</v>
      </c>
      <c r="P16" s="811">
        <f>$D$6*('Inputs 7&amp;8 SU'!$N13/('Inputs 7&amp;8 SU'!$O13*1000))/12</f>
        <v>0</v>
      </c>
      <c r="Q16" s="812">
        <f>$D$6*('Inputs 7&amp;8 Day'!$N13/('Inputs 7&amp;8 Day'!$O13*1000))/12</f>
        <v>0</v>
      </c>
      <c r="R16" s="278"/>
      <c r="Y16" s="258">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s="258" t="b">
        <f>Y16&lt;$D$6/OPDAYS_Cls1</f>
        <v>1</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c r="AY17"/>
      <c r="AZ17"/>
      <c r="BA17"/>
      <c r="BB17"/>
      <c r="BC17"/>
      <c r="BD17"/>
      <c r="BE17"/>
      <c r="BF17"/>
      <c r="BG17"/>
      <c r="BH17"/>
    </row>
    <row r="18" spans="1:60" ht="13.5" thickBot="1" x14ac:dyDescent="0.25">
      <c r="B18" s="247"/>
      <c r="D18" s="287"/>
      <c r="T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INDEX(AdoptCols,'7&amp;8 Sleep'!AU18)</f>
        <v>Moderate</v>
      </c>
      <c r="AW18" s="897"/>
      <c r="AX18"/>
      <c r="AY18"/>
      <c r="AZ18"/>
      <c r="BA18"/>
      <c r="BB18"/>
      <c r="BC18"/>
      <c r="BD18"/>
      <c r="BE18"/>
      <c r="BF18"/>
      <c r="BG18"/>
      <c r="BH18"/>
    </row>
    <row r="19" spans="1:60" s="29" customFormat="1" ht="15.75" thickBot="1" x14ac:dyDescent="0.3">
      <c r="A19" s="910"/>
      <c r="B19" s="1566" t="s">
        <v>240</v>
      </c>
      <c r="C19" s="1567"/>
      <c r="D19" s="1567"/>
      <c r="E19" s="1567"/>
      <c r="F19" s="1567"/>
      <c r="G19" s="1568"/>
      <c r="H19" s="1566" t="s">
        <v>226</v>
      </c>
      <c r="I19" s="1567"/>
      <c r="J19" s="1567"/>
      <c r="K19" s="1567"/>
      <c r="L19" s="1567"/>
      <c r="M19" s="1568"/>
      <c r="N19" s="1566"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8"/>
      <c r="AN19" s="1566" t="s">
        <v>100</v>
      </c>
      <c r="AO19" s="1567"/>
      <c r="AP19" s="1567"/>
      <c r="AQ19" s="1567"/>
      <c r="AR19" s="1568"/>
      <c r="AS19" s="1566" t="s">
        <v>73</v>
      </c>
      <c r="AT19" s="1567"/>
      <c r="AU19" s="1567"/>
      <c r="AV19" s="1567"/>
      <c r="AW19" s="1568"/>
      <c r="AX19" s="1566" t="s">
        <v>102</v>
      </c>
      <c r="AY19" s="1567"/>
      <c r="AZ19" s="1567"/>
      <c r="BA19" s="1567"/>
      <c r="BB19" s="1568"/>
      <c r="BC19" s="1566" t="s">
        <v>82</v>
      </c>
      <c r="BD19" s="1567"/>
      <c r="BE19" s="1567"/>
      <c r="BF19" s="1567"/>
      <c r="BG19" s="1567"/>
      <c r="BH19" s="1568"/>
    </row>
    <row r="20" spans="1:60" ht="15" customHeight="1" x14ac:dyDescent="0.2">
      <c r="A20" s="290"/>
      <c r="B20" s="1144" t="s">
        <v>69</v>
      </c>
      <c r="C20" s="1145" t="s">
        <v>65</v>
      </c>
      <c r="D20" s="1145" t="s">
        <v>66</v>
      </c>
      <c r="E20" s="1145" t="s">
        <v>67</v>
      </c>
      <c r="F20" s="1145" t="s">
        <v>207</v>
      </c>
      <c r="G20" s="1191" t="s">
        <v>208</v>
      </c>
      <c r="H20" s="1144" t="s">
        <v>69</v>
      </c>
      <c r="I20" s="1145" t="s">
        <v>65</v>
      </c>
      <c r="J20" s="1145" t="s">
        <v>66</v>
      </c>
      <c r="K20" s="1145" t="s">
        <v>67</v>
      </c>
      <c r="L20" s="1145" t="s">
        <v>207</v>
      </c>
      <c r="M20" s="1191"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243" t="s">
        <v>65</v>
      </c>
      <c r="AJ20" s="1244" t="s">
        <v>66</v>
      </c>
      <c r="AK20" s="1244" t="s">
        <v>67</v>
      </c>
      <c r="AL20" s="1245" t="s">
        <v>207</v>
      </c>
      <c r="AM20" s="1246"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52" customFormat="1" x14ac:dyDescent="0.2">
      <c r="A21" s="872"/>
      <c r="B21" s="1179"/>
      <c r="C21" s="1180"/>
      <c r="D21" s="1180"/>
      <c r="E21" s="1180"/>
      <c r="F21" s="1180"/>
      <c r="G21" s="1181"/>
      <c r="H21" s="1185" t="str">
        <f>IF(INDEX($G$11:$G$16,MATCH(H20,$B$11:$B$16,0))="N/A","Single-fuel","Dual-Fuel")</f>
        <v>Single-fuel</v>
      </c>
      <c r="I21" s="1186" t="str">
        <f t="shared" ref="I21:M21" si="2">IF(INDEX($G$11:$G$16,MATCH(I20,$B$11:$B$16,0))="N/A","Single-fuel","Dual-Fuel")</f>
        <v>Single-fuel</v>
      </c>
      <c r="J21" s="1186" t="str">
        <f t="shared" si="2"/>
        <v>Single-fuel</v>
      </c>
      <c r="K21" s="1186" t="str">
        <f t="shared" si="2"/>
        <v>Single-fuel</v>
      </c>
      <c r="L21" s="1186" t="str">
        <f t="shared" si="2"/>
        <v>Dual-Fuel</v>
      </c>
      <c r="M21" s="1187" t="str">
        <f t="shared" si="2"/>
        <v>Single-fuel</v>
      </c>
      <c r="N21" s="1100" t="str">
        <f>INDEX($F$11:$F$16,MATCH(N20,$B$11:$B$16,0))</f>
        <v>Diesel</v>
      </c>
      <c r="O21" s="1101" t="str">
        <f>INDEX($F$11:$F$16,MATCH(O20,$B$11:$B$16,0))</f>
        <v>Diesel</v>
      </c>
      <c r="P21" s="1101" t="str">
        <f t="shared" ref="P21" si="3">INDEX($F$11:$F$16,MATCH(P20,$B$11:$B$16,0))</f>
        <v>Diesel</v>
      </c>
      <c r="Q21" s="1101" t="str">
        <f t="shared" ref="Q21" si="4">INDEX($F$11:$F$16,MATCH(Q20,$B$11:$B$16,0))</f>
        <v>Diesel</v>
      </c>
      <c r="R21" s="1101" t="str">
        <f t="shared" ref="R21" si="5">INDEX($F$11:$F$16,MATCH(R20,$B$11:$B$16,0))</f>
        <v>Diesel</v>
      </c>
      <c r="S21" s="1102" t="str">
        <f t="shared" ref="S21" si="6">INDEX($F$11:$F$16,MATCH(S20,$B$11:$B$16,0))</f>
        <v>Hydrogen</v>
      </c>
      <c r="T21" s="1577" t="s">
        <v>117</v>
      </c>
      <c r="U21" s="1578"/>
      <c r="V21" s="1578"/>
      <c r="W21" s="1578"/>
      <c r="X21" s="1579"/>
      <c r="Y21" s="1100" t="str">
        <f>INDEX($F$11:$F$16,MATCH(Y20,$B$11:$B$16,0))</f>
        <v>Diesel</v>
      </c>
      <c r="Z21" s="1101" t="str">
        <f t="shared" ref="Z21:AC21" si="7">INDEX($F$11:$F$16,MATCH(Z20,$B$11:$B$16,0))</f>
        <v>Diesel</v>
      </c>
      <c r="AA21" s="1101" t="str">
        <f t="shared" si="7"/>
        <v>Diesel</v>
      </c>
      <c r="AB21" s="1101" t="str">
        <f t="shared" si="7"/>
        <v>Diesel</v>
      </c>
      <c r="AC21" s="1102" t="str">
        <f t="shared" si="7"/>
        <v>Hydrogen</v>
      </c>
      <c r="AD21" s="1123">
        <f>INDEX($L$11:$L$16,MATCH(AD20,$B$11:$B$16,0))</f>
        <v>5000</v>
      </c>
      <c r="AE21" s="1124">
        <f>INDEX($L$11:$L$16,MATCH(AE20,$B$11:$B$16,0))</f>
        <v>5000</v>
      </c>
      <c r="AF21" s="1124">
        <f>INDEX($L$11:$L$16,MATCH(AF20,$B$11:$B$16,0))</f>
        <v>5000</v>
      </c>
      <c r="AG21" s="1124">
        <f>INDEX($L$11:$L$16,MATCH(AG20,$B$11:$B$16,0))</f>
        <v>5000</v>
      </c>
      <c r="AH21" s="1125">
        <f>INDEX($L$11:$L$16,MATCH(AH20,$B$11:$B$16,0))</f>
        <v>5000</v>
      </c>
      <c r="AI21" s="1100">
        <f>INDEX($J$11:$J$16,MATCH(AI20,$B$11:$B$16,0))</f>
        <v>0</v>
      </c>
      <c r="AJ21" s="1101">
        <f t="shared" ref="AJ21:AM21" si="8">INDEX($J$11:$J$16,MATCH(AJ20,$B$11:$B$16,0))</f>
        <v>0</v>
      </c>
      <c r="AK21" s="1101">
        <f t="shared" si="8"/>
        <v>0</v>
      </c>
      <c r="AL21" s="1101">
        <f t="shared" si="8"/>
        <v>0</v>
      </c>
      <c r="AM21" s="1102">
        <f t="shared" si="8"/>
        <v>0</v>
      </c>
      <c r="AN21" s="1100" t="str">
        <f>INDEX($F$11:$F$16,MATCH(AN20,$B$11:$B$16,0))</f>
        <v>Diesel</v>
      </c>
      <c r="AO21" s="1101" t="str">
        <f t="shared" ref="AO21" si="9">INDEX($F$11:$F$16,MATCH(AO20,$B$11:$B$16,0))</f>
        <v>Diesel</v>
      </c>
      <c r="AP21" s="1101" t="str">
        <f t="shared" ref="AP21" si="10">INDEX($F$11:$F$16,MATCH(AP20,$B$11:$B$16,0))</f>
        <v>Diesel</v>
      </c>
      <c r="AQ21" s="1101" t="str">
        <f t="shared" ref="AQ21" si="11">INDEX($F$11:$F$16,MATCH(AQ20,$B$11:$B$16,0))</f>
        <v>Diesel</v>
      </c>
      <c r="AR21" s="1102" t="str">
        <f t="shared" ref="AR21" si="12">INDEX($F$11:$F$16,MATCH(AR20,$B$11:$B$16,0))</f>
        <v>Hydrogen</v>
      </c>
      <c r="AS21" s="1100" t="str">
        <f>INDEX($F$11:$F$16,MATCH(AS20,$B$11:$B$16,0))</f>
        <v>Diesel</v>
      </c>
      <c r="AT21" s="1101" t="str">
        <f t="shared" ref="AT21:AV21" si="13">INDEX($F$11:$F$16,MATCH(AT20,$B$11:$B$16,0))</f>
        <v>Diesel</v>
      </c>
      <c r="AU21" s="1101" t="str">
        <f t="shared" ref="AU21" si="14">INDEX($F$11:$F$16,MATCH(AU20,$B$11:$B$16,0))</f>
        <v>Diesel</v>
      </c>
      <c r="AV21" s="1101" t="str">
        <f t="shared" si="13"/>
        <v>Diesel</v>
      </c>
      <c r="AW21" s="1102" t="str">
        <f t="shared" ref="AW21" si="15">INDEX($F$11:$F$16,MATCH(AW20,$B$11:$B$16,0))</f>
        <v>Hydrogen</v>
      </c>
      <c r="AX21" s="1100" t="str">
        <f>INDEX($F$11:$F$16,MATCH(AX20,$B$11:$B$16,0))</f>
        <v>Diesel</v>
      </c>
      <c r="AY21" s="1101" t="str">
        <f t="shared" ref="AY21" si="16">INDEX($F$11:$F$16,MATCH(AY20,$B$11:$B$16,0))</f>
        <v>Diesel</v>
      </c>
      <c r="AZ21" s="1101" t="str">
        <f t="shared" ref="AZ21" si="17">INDEX($F$11:$F$16,MATCH(AZ20,$B$11:$B$16,0))</f>
        <v>Diesel</v>
      </c>
      <c r="BA21" s="1101" t="str">
        <f t="shared" ref="BA21" si="18">INDEX($F$11:$F$16,MATCH(BA20,$B$11:$B$16,0))</f>
        <v>Diesel</v>
      </c>
      <c r="BB21" s="1102" t="str">
        <f t="shared" ref="BB21" si="19">INDEX($F$11:$F$16,MATCH(BB20,$B$11:$B$16,0))</f>
        <v>Hydrogen</v>
      </c>
      <c r="BC21" s="1133" t="str">
        <f>INDEX($F$11:$F$16,MATCH(BC20,$B$11:$B$16,0))</f>
        <v>Diesel</v>
      </c>
      <c r="BD21" s="1101" t="str">
        <f>INDEX($F$11:$F$16,MATCH(BD20,$B$11:$B$16,0))</f>
        <v>Diesel</v>
      </c>
      <c r="BE21" s="1101" t="str">
        <f t="shared" ref="BE21" si="20">INDEX($F$11:$F$16,MATCH(BE20,$B$11:$B$16,0))</f>
        <v>Diesel</v>
      </c>
      <c r="BF21" s="1101" t="str">
        <f t="shared" ref="BF21" si="21">INDEX($F$11:$F$16,MATCH(BF20,$B$11:$B$16,0))</f>
        <v>Diesel</v>
      </c>
      <c r="BG21" s="1101" t="str">
        <f t="shared" ref="BG21" si="22">INDEX($F$11:$F$16,MATCH(BG20,$B$11:$B$16,0))</f>
        <v>Diesel</v>
      </c>
      <c r="BH21" s="1102" t="str">
        <f t="shared" ref="BH21" si="23">INDEX($F$11:$F$16,MATCH(BH20,$B$11:$B$16,0))</f>
        <v>Hydrogen</v>
      </c>
    </row>
    <row r="22" spans="1:60" x14ac:dyDescent="0.2">
      <c r="A22" s="872"/>
      <c r="B22" s="1179"/>
      <c r="C22" s="1180"/>
      <c r="D22" s="1180"/>
      <c r="E22" s="1180"/>
      <c r="F22" s="1180"/>
      <c r="G22" s="1181"/>
      <c r="H22" s="1185"/>
      <c r="I22" s="1186"/>
      <c r="J22" s="1186"/>
      <c r="K22" s="1186"/>
      <c r="L22" s="1186"/>
      <c r="M22" s="1187"/>
      <c r="N22" s="1103"/>
      <c r="O22" s="1104"/>
      <c r="P22" s="1104"/>
      <c r="Q22" s="1104"/>
      <c r="R22" s="1104"/>
      <c r="S22" s="1105"/>
      <c r="T22" s="1109">
        <f>INDEX($Q$11:$Q$16,MATCH(T20,$B$11:$B$16,0))</f>
        <v>0</v>
      </c>
      <c r="U22" s="1110">
        <f>INDEX($Q$11:$Q$16,MATCH(U20,$B$11:$B$16,0))</f>
        <v>0</v>
      </c>
      <c r="V22" s="1110">
        <f>INDEX($Q$11:$Q$16,MATCH(V20,$B$11:$B$16,0))</f>
        <v>0</v>
      </c>
      <c r="W22" s="1110">
        <f>INDEX($Q$11:$Q$16,MATCH(W20,$B$11:$B$16,0))</f>
        <v>0</v>
      </c>
      <c r="X22" s="1111">
        <f>INDEX($Q$11:$Q$16,MATCH(X20,$B$11:$B$16,0))</f>
        <v>0</v>
      </c>
      <c r="Y22" s="1117" t="b">
        <f>INDEX($H$11:$H$16,MATCH(Y20,$B$11:$B$16,0))</f>
        <v>0</v>
      </c>
      <c r="Z22" s="1118" t="b">
        <f t="shared" ref="Z22:AC22" si="24">INDEX($H$11:$H$16,MATCH(Z20,$B$11:$B$16,0))</f>
        <v>0</v>
      </c>
      <c r="AA22" s="1118" t="b">
        <f t="shared" si="24"/>
        <v>0</v>
      </c>
      <c r="AB22" s="1118" t="b">
        <f t="shared" si="24"/>
        <v>0</v>
      </c>
      <c r="AC22" s="1119" t="b">
        <f t="shared" si="24"/>
        <v>0</v>
      </c>
      <c r="AD22" s="1100">
        <f>INDEX($M$11:$M$16,MATCH(AD20,$B$11:$B$16,0))</f>
        <v>100</v>
      </c>
      <c r="AE22" s="1126">
        <f>INDEX($M$11:$M$16,MATCH(AE20,$B$11:$B$16,0))</f>
        <v>100</v>
      </c>
      <c r="AF22" s="1126">
        <f>INDEX($M$11:$M$16,MATCH(AF20,$B$11:$B$16,0))</f>
        <v>100</v>
      </c>
      <c r="AG22" s="1126">
        <f>INDEX($M$11:$M$16,MATCH(AG20,$B$11:$B$16,0))</f>
        <v>100</v>
      </c>
      <c r="AH22" s="1127">
        <f>INDEX($M$11:$M$16,MATCH(AH20,$B$11:$B$16,0))</f>
        <v>100</v>
      </c>
      <c r="AI22" s="1100">
        <f>INDEX($K$11:$K$16,MATCH(AI20,$B$11:$B$16,0))</f>
        <v>0.5</v>
      </c>
      <c r="AJ22" s="1101">
        <f t="shared" ref="AJ22:AM22" si="25">INDEX($K$11:$K$16,MATCH(AJ20,$B$11:$B$16,0))</f>
        <v>0.5</v>
      </c>
      <c r="AK22" s="1101">
        <f t="shared" si="25"/>
        <v>0.5</v>
      </c>
      <c r="AL22" s="1101">
        <f t="shared" si="25"/>
        <v>0.5</v>
      </c>
      <c r="AM22" s="1102">
        <f t="shared" si="25"/>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47"/>
      <c r="B23" s="1182"/>
      <c r="C23" s="1183"/>
      <c r="D23" s="1183"/>
      <c r="E23" s="1183"/>
      <c r="F23" s="1183"/>
      <c r="G23" s="1184"/>
      <c r="H23" s="1188"/>
      <c r="I23" s="1189"/>
      <c r="J23" s="1189"/>
      <c r="K23" s="1189"/>
      <c r="L23" s="1189"/>
      <c r="M23" s="1190"/>
      <c r="N23" s="1106"/>
      <c r="O23" s="1107"/>
      <c r="P23" s="1107"/>
      <c r="Q23" s="1107"/>
      <c r="R23" s="1107"/>
      <c r="S23" s="1108"/>
      <c r="T23" s="1112"/>
      <c r="U23" s="1113"/>
      <c r="V23" s="1113"/>
      <c r="W23" s="1113"/>
      <c r="X23" s="1114"/>
      <c r="Y23" s="1120"/>
      <c r="Z23" s="1121"/>
      <c r="AA23" s="1121"/>
      <c r="AB23" s="1121"/>
      <c r="AC23" s="1122"/>
      <c r="AD23" s="1128"/>
      <c r="AE23" s="1129"/>
      <c r="AF23" s="1129"/>
      <c r="AG23" s="1129"/>
      <c r="AH23" s="1130"/>
      <c r="AI23" s="1128">
        <f>INDEX($I$11:$I$16,MATCH(AI20,$B$11:$B$16,0))</f>
        <v>2020</v>
      </c>
      <c r="AJ23" s="1131">
        <f>INDEX($I$11:$I$16,MATCH(AJ20,$B$11:$B$16,0))</f>
        <v>2020</v>
      </c>
      <c r="AK23" s="1131">
        <f>INDEX($I$11:$I$16,MATCH(AK20,$B$11:$B$16,0))</f>
        <v>2020</v>
      </c>
      <c r="AL23" s="1131">
        <f>INDEX($I$11:$I$16,MATCH(AL20,$B$11:$B$16,0))</f>
        <v>2020</v>
      </c>
      <c r="AM23" s="1132">
        <f>INDEX($I$11:$I$16,MATCH(AM20,$B$11:$B$16,0))</f>
        <v>2020</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26">ROUND(INDEX(COST_Cls1,$A24-($A$24-1),MATCH(B$20,TECHOPTS_Cls1,0)),2)</f>
        <v>156000</v>
      </c>
      <c r="C24" s="914">
        <f t="shared" si="26"/>
        <v>1000000</v>
      </c>
      <c r="D24" s="914">
        <f t="shared" si="26"/>
        <v>1000000</v>
      </c>
      <c r="E24" s="914">
        <f t="shared" si="26"/>
        <v>1000000</v>
      </c>
      <c r="F24" s="914">
        <f t="shared" si="26"/>
        <v>1000000</v>
      </c>
      <c r="G24" s="915">
        <f t="shared" si="26"/>
        <v>1000000</v>
      </c>
      <c r="H24" s="886">
        <f t="shared" ref="H24:M33" si="27">IF(H$21="Single-fuel",1,1-MIN(INDEX(CDRANGE_CLS1,$A24-($A$24-1),MATCH(H$20,TECHOPTS_Cls1,0))*OPDAYS_Cls1/$D$6,1))</f>
        <v>1</v>
      </c>
      <c r="I24" s="887">
        <f t="shared" si="27"/>
        <v>1</v>
      </c>
      <c r="J24" s="887">
        <f t="shared" si="27"/>
        <v>1</v>
      </c>
      <c r="K24" s="887">
        <f t="shared" si="27"/>
        <v>1</v>
      </c>
      <c r="L24" s="887">
        <f t="shared" si="27"/>
        <v>1</v>
      </c>
      <c r="M24" s="888">
        <f t="shared" si="27"/>
        <v>1</v>
      </c>
      <c r="N24" s="294">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9413.4027581668033</v>
      </c>
      <c r="O24" s="294">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55801.464062550222</v>
      </c>
      <c r="P24" s="294">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55801.464062550222</v>
      </c>
      <c r="Q24" s="294">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55801.464062550222</v>
      </c>
      <c r="R24" s="294">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55801.464062550222</v>
      </c>
      <c r="S24" s="294">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93">
        <f>$N24-O24+T$22</f>
        <v>-46388.061304383416</v>
      </c>
      <c r="U24" s="294">
        <f t="shared" ref="U24:X24" si="34">$N24-P24+U$22</f>
        <v>-46388.061304383416</v>
      </c>
      <c r="V24" s="294">
        <f t="shared" si="34"/>
        <v>-46388.061304383416</v>
      </c>
      <c r="W24" s="294">
        <f t="shared" si="34"/>
        <v>-46388.061304383416</v>
      </c>
      <c r="X24" s="296">
        <f t="shared" si="34"/>
        <v>-183548.75369079641</v>
      </c>
      <c r="Y24" s="297">
        <f ca="1">IF(AND(Y$22=TRUE,INDEX(CDRANGE_CLS1,MATCH($A24,$A$24:$A$67,0),MATCH(Y$20,$B$20:$G$20,0))&lt;$D$6/OPDAYS_Cls1),86,payback(C24,T24,disc_rate/12,85))</f>
        <v>86</v>
      </c>
      <c r="Z24" s="298">
        <f ca="1">IF(AND(Z$22=TRUE,INDEX(CDRANGE_CLS1,MATCH($A24,$A$24:$A$67,0),MATCH(Z$20,$B$20:$G$20,0))&lt;$D$6/OPDAYS_Cls1),86,payback(D24,U24,disc_rate/12,85))</f>
        <v>86</v>
      </c>
      <c r="AA24" s="298">
        <f ca="1">IF(AND(AA$22=TRUE,INDEX(CDRANGE_CLS1,MATCH($A24,$A$24:$A$67,0),MATCH(AA$20,$B$20:$G$20,0))&lt;$D$6/OPDAYS_Cls1),86,payback(E24,V24,disc_rate/12,85))</f>
        <v>86</v>
      </c>
      <c r="AB24" s="298">
        <f ca="1">IF(AND(AB$22=TRUE,INDEX(CDRANGE_CLS1,MATCH($A24,$A$24:$A$67,0),MATCH(AB$20,$B$20:$G$20,0))&lt;$D$6/OPDAYS_Cls1),86,payback(F24,W24,disc_rate/12,85))</f>
        <v>86</v>
      </c>
      <c r="AC24" s="299">
        <f ca="1">IF(AND(AC$22=TRUE,INDEX(CDRANGE_CLS1,MATCH($A24,$A$24:$A$67,0),MATCH(AC$20,$B$20:$G$20,0))&lt;$D$6/OPDAYS_Cls1),86,payback(G24,X24,disc_rate/12,85))</f>
        <v>86</v>
      </c>
      <c r="AD24" s="300">
        <f t="shared" ref="AD24:AD67" si="35">IF(AND(C24&lt;=AD$21,$N24-O24&gt;=-AD$22),AI24*VLOOKUP(C24/AD$21,FirstCostInd,2,TRUE)*VLOOKUP(($N24-O24)/AD$22,FuelCostInd,2,1),0)</f>
        <v>0</v>
      </c>
      <c r="AE24" s="301">
        <f t="shared" ref="AE24:AE67" si="36">IF(AND(D24&lt;=AE$21,$N24-P24&gt;=-AE$22),AJ24*VLOOKUP(D24/AE$21,FirstCostInd,2,TRUE)*VLOOKUP(($N24-P24)/AE$22,FuelCostInd,2,1),0)</f>
        <v>0</v>
      </c>
      <c r="AF24" s="301">
        <f t="shared" ref="AF24:AF67" si="37">IF(AND(E24&lt;=AF$21,$N24-Q24&gt;=-AF$22),AK24*VLOOKUP(E24/AF$21,FirstCostInd,2,TRUE)*VLOOKUP(($N24-Q24)/AF$22,FuelCostInd,2,1),0)</f>
        <v>0</v>
      </c>
      <c r="AG24" s="301">
        <f t="shared" ref="AG24:AG67" si="38">IF(AND(F24&lt;=AG$21,$N24-R24&gt;=-AG$22),AL24*VLOOKUP(F24/AG$21,FirstCostInd,2,TRUE)*VLOOKUP(($N24-R24)/AG$22,FuelCostInd,2,1),0)</f>
        <v>0</v>
      </c>
      <c r="AH24" s="744">
        <f t="shared" ref="AH24:AH67" si="39">IF(AND(G24&lt;=AH$21,$N24-S24&gt;=-AH$22),AM24*VLOOKUP(G24/AH$21,FirstCostInd,2,TRUE)*VLOOKUP(($N24-S24)/AH$22,FuelCostInd,2,1),0)</f>
        <v>0</v>
      </c>
      <c r="AI24" s="1247">
        <f t="shared" ref="AI24:AI67" si="40">IF($A24&lt;AI$23,0,AI$21+VLOOKUP($A24-AI$23,SCdata,2,1)*(AI$22-AI$21))*IF($D$5="Non-Central",INDEX(fuel_avail,$A24-$A$24+1,MATCH(O$21,Fuels,0)),1)</f>
        <v>0</v>
      </c>
      <c r="AJ24" s="1248">
        <f t="shared" ref="AJ24:AJ67" si="41">IF($A24&lt;AJ$23,0,AJ$21+VLOOKUP($A24-AJ$23,SCdata,2,1)*(AJ$22-AJ$21))*IF($D$5="Non-Central",INDEX(fuel_avail,$A24-$A$24+1,MATCH(P$21,Fuels,0)),1)</f>
        <v>0</v>
      </c>
      <c r="AK24" s="1248">
        <f t="shared" ref="AK24:AK67" si="42">IF($A24&lt;AK$23,0,AK$21+VLOOKUP($A24-AK$23,SCdata,2,1)*(AK$22-AK$21))*IF($D$5="Non-Central",INDEX(fuel_avail,$A24-$A$24+1,MATCH(Q$21,Fuels,0)),1)</f>
        <v>0</v>
      </c>
      <c r="AL24" s="1248">
        <f t="shared" ref="AL24:AL67" si="43">IF($A24&lt;AL$23,0,AL$21+VLOOKUP($A24-AL$23,SCdata,2,1)*(AL$22-AL$21))*IF($D$5="Non-Central",INDEX(fuel_avail,$A24-$A$24+1,MATCH(R$21,Fuels,0)),1)</f>
        <v>0</v>
      </c>
      <c r="AM24" s="1249">
        <f t="shared" ref="AM24:AM67" si="44">IF($A24&lt;AM$23,0,AM$21+VLOOKUP($A24-AM$23,SCdata,2,1)*(AM$22-AM$21))*IF($D$5="Non-Central",INDEX(fuel_avail,$A24-$A$24+1,MATCH(S$21,Fuels,0)),1)</f>
        <v>0</v>
      </c>
      <c r="AN24" s="303">
        <f>IF(C24&lt;0,1,$AQ$17*(1-WEIBULL(C24/$B24,$AO$17,$AO$18,1)))</f>
        <v>0</v>
      </c>
      <c r="AO24" s="304">
        <f t="shared" ref="AO24:AR24" si="45">IF(D24&lt;0,1,$AQ$17*(1-WEIBULL(D24/$B24,$AO$17,$AO$18,1)))</f>
        <v>0</v>
      </c>
      <c r="AP24" s="304">
        <f t="shared" si="45"/>
        <v>0</v>
      </c>
      <c r="AQ24" s="304">
        <f t="shared" si="45"/>
        <v>0</v>
      </c>
      <c r="AR24" s="305">
        <f t="shared" si="45"/>
        <v>0</v>
      </c>
      <c r="AS24" s="300">
        <f t="shared" ref="AS24:AS67" ca="1" si="46">MIN(1,MAX(AD24,IF(Y24&gt;85,0,(AI24/0.5)*VLOOKUP(Y24,AdoptDec,$AU$18,0))))</f>
        <v>0</v>
      </c>
      <c r="AT24" s="301">
        <f t="shared" ref="AT24:AT67" ca="1" si="47">MIN(1,MAX(AE24,IF(Z24&gt;85,0,(AJ24/0.5)*VLOOKUP(Z24,AdoptDec,$AU$18,0))))</f>
        <v>0</v>
      </c>
      <c r="AU24" s="911">
        <f t="shared" ref="AU24:AU67" ca="1" si="48">MIN(1,MAX(AF24,IF(AA24&gt;85,0,(AK24/0.5)*VLOOKUP(AA24,AdoptDec,$AU$18,0))))</f>
        <v>0</v>
      </c>
      <c r="AV24" s="911">
        <f t="shared" ref="AV24:AV67" ca="1" si="49">MIN(1,MAX(AG24,IF(AB24&gt;85,0,(AL24/0.5)*VLOOKUP(AB24,AdoptDec,$AU$18,0))))</f>
        <v>0</v>
      </c>
      <c r="AW24" s="912">
        <f t="shared" ref="AW24:AW67" ca="1" si="50">MIN(1,MAX(AH24,IF(AC24&gt;85,0,(AM24/0.5)*VLOOKUP(AC24,AdoptDec,$AU$18,0))))</f>
        <v>0</v>
      </c>
      <c r="AX24" s="860">
        <f t="shared" ref="AX24:AX67" ca="1" si="51">MIN(AS24*AN24,1)</f>
        <v>0</v>
      </c>
      <c r="AY24" s="301">
        <f t="shared" ref="AY24:AY67" ca="1" si="52">MIN(AT24*AO24,1)</f>
        <v>0</v>
      </c>
      <c r="AZ24" s="301">
        <f t="shared" ref="AZ24:AZ67" ca="1" si="53">MIN(AU24*AP24,1)</f>
        <v>0</v>
      </c>
      <c r="BA24" s="301">
        <f t="shared" ref="BA24" ca="1" si="54">MIN(AV24*AQ24,1)</f>
        <v>0</v>
      </c>
      <c r="BB24" s="744">
        <f t="shared" ref="BB24" ca="1" si="55">MIN(AW24*AR24,1)</f>
        <v>0</v>
      </c>
      <c r="BC24" s="300">
        <f ca="1">1-SUM(BD24:BH24)</f>
        <v>1</v>
      </c>
      <c r="BD24" s="301">
        <f t="shared" ref="BD24:BD67" ca="1" si="56">IF(SUM($AX24:$BB24)=0,0,MAX($AX24:$BB24)*(AI24*AX24/SUMPRODUCT($AI24:$AM24,$AX24:$BB24)))</f>
        <v>0</v>
      </c>
      <c r="BE24" s="301">
        <f t="shared" ref="BE24:BE67" ca="1" si="57">IF(SUM($AX24:$BB24)=0,0,MAX($AX24:$BB24)*(AJ24*AY24/SUMPRODUCT($AI24:$AM24,$AX24:$BB24)))</f>
        <v>0</v>
      </c>
      <c r="BF24" s="301">
        <f t="shared" ref="BF24:BF67" ca="1" si="58">IF(SUM($AX24:$BB24)=0,0,MAX($AX24:$BB24)*(AK24*AZ24/SUMPRODUCT($AI24:$AM24,$AX24:$BB24)))</f>
        <v>0</v>
      </c>
      <c r="BG24" s="301">
        <f t="shared" ref="BG24:BG67" ca="1" si="59">IF(SUM($AX24:$BB24)=0,0,MAX($AX24:$BB24)*(AL24*BA24/SUMPRODUCT($AI24:$AM24,$AX24:$BB24)))</f>
        <v>0</v>
      </c>
      <c r="BH24" s="302">
        <f t="shared" ref="BH24:BH67" ca="1" si="60">IF(SUM($AX24:$BB24)=0,0,MAX($AX24:$BB24)*(AM24*BB24/SUMPRODUCT($AI24:$AM24,$AX24:$BB24)))</f>
        <v>0</v>
      </c>
    </row>
    <row r="25" spans="1:60" x14ac:dyDescent="0.2">
      <c r="A25" s="306">
        <v>2008</v>
      </c>
      <c r="B25" s="916">
        <f t="shared" si="26"/>
        <v>156000</v>
      </c>
      <c r="C25" s="917">
        <f t="shared" si="26"/>
        <v>1000000</v>
      </c>
      <c r="D25" s="917">
        <f t="shared" si="26"/>
        <v>1000000</v>
      </c>
      <c r="E25" s="917">
        <f t="shared" si="26"/>
        <v>1000000</v>
      </c>
      <c r="F25" s="917">
        <f t="shared" si="26"/>
        <v>1000000</v>
      </c>
      <c r="G25" s="918">
        <f t="shared" si="26"/>
        <v>1000000</v>
      </c>
      <c r="H25" s="886">
        <f t="shared" si="27"/>
        <v>1</v>
      </c>
      <c r="I25" s="887">
        <f t="shared" si="27"/>
        <v>1</v>
      </c>
      <c r="J25" s="887">
        <f t="shared" si="27"/>
        <v>1</v>
      </c>
      <c r="K25" s="887">
        <f t="shared" si="27"/>
        <v>1</v>
      </c>
      <c r="L25" s="887">
        <f t="shared" si="27"/>
        <v>1</v>
      </c>
      <c r="M25" s="888">
        <f t="shared" si="27"/>
        <v>1</v>
      </c>
      <c r="N25" s="293">
        <f t="shared" si="28"/>
        <v>13145.989603402559</v>
      </c>
      <c r="O25" s="294">
        <f t="shared" si="29"/>
        <v>77927.768020390504</v>
      </c>
      <c r="P25" s="294">
        <f t="shared" si="30"/>
        <v>77927.768020390504</v>
      </c>
      <c r="Q25" s="294">
        <f t="shared" si="31"/>
        <v>77927.768020390504</v>
      </c>
      <c r="R25" s="294">
        <f t="shared" si="32"/>
        <v>77927.768020390504</v>
      </c>
      <c r="S25" s="296">
        <f t="shared" si="33"/>
        <v>192962.15644896321</v>
      </c>
      <c r="T25" s="307">
        <f t="shared" ref="T25:T67" si="61">$N25-O25+T$22</f>
        <v>-64781.778416987945</v>
      </c>
      <c r="U25" s="308">
        <f t="shared" ref="U25:U67" si="62">$N25-P25+U$22</f>
        <v>-64781.778416987945</v>
      </c>
      <c r="V25" s="308">
        <f t="shared" ref="V25:V67" si="63">$N25-Q25+V$22</f>
        <v>-64781.778416987945</v>
      </c>
      <c r="W25" s="308">
        <f t="shared" ref="W25:W67" si="64">$N25-R25+W$22</f>
        <v>-64781.778416987945</v>
      </c>
      <c r="X25" s="310">
        <f t="shared" ref="X25:X67" si="65">$N25-S25+X$22</f>
        <v>-179816.16684556066</v>
      </c>
      <c r="Y25" s="311">
        <f ca="1">IF(AND(Y$22=TRUE,INDEX(CDRANGE_CLS1,MATCH($A25,$A$24:$A$67,0),MATCH(Y$20,$B$20:$G$20,0))&lt;$D$6/OPDAYS_Cls1),86,payback(C25,T25,disc_rate/12,85))</f>
        <v>86</v>
      </c>
      <c r="Z25" s="312">
        <f ca="1">IF(AND(Z$22=TRUE,INDEX(CDRANGE_CLS1,MATCH($A25,$A$24:$A$67,0),MATCH(Z$20,$B$20:$G$20,0))&lt;$D$6/OPDAYS_Cls1),86,payback(D25,U25,disc_rate/12,85))</f>
        <v>86</v>
      </c>
      <c r="AA25" s="312">
        <f ca="1">IF(AND(AA$22=TRUE,INDEX(CDRANGE_CLS1,MATCH($A25,$A$24:$A$67,0),MATCH(AA$20,$B$20:$G$20,0))&lt;$D$6/OPDAYS_Cls1),86,payback(E25,V25,disc_rate/12,85))</f>
        <v>86</v>
      </c>
      <c r="AB25" s="312">
        <f ca="1">IF(AND(AB$22=TRUE,INDEX(CDRANGE_CLS1,MATCH($A25,$A$24:$A$67,0),MATCH(AB$20,$B$20:$G$20,0))&lt;$D$6/OPDAYS_Cls1),86,payback(F25,W25,disc_rate/12,85))</f>
        <v>86</v>
      </c>
      <c r="AC25" s="313">
        <f ca="1">IF(AND(AC$22=TRUE,INDEX(CDRANGE_CLS1,MATCH($A25,$A$24:$A$67,0),MATCH(AC$20,$B$20:$G$20,0))&lt;$D$6/OPDAYS_Cls1),86,payback(G25,X25,disc_rate/12,85))</f>
        <v>86</v>
      </c>
      <c r="AD25" s="314">
        <f t="shared" si="35"/>
        <v>0</v>
      </c>
      <c r="AE25" s="315">
        <f t="shared" si="36"/>
        <v>0</v>
      </c>
      <c r="AF25" s="315">
        <f t="shared" si="37"/>
        <v>0</v>
      </c>
      <c r="AG25" s="315">
        <f t="shared" si="38"/>
        <v>0</v>
      </c>
      <c r="AH25" s="697">
        <f t="shared" si="39"/>
        <v>0</v>
      </c>
      <c r="AI25" s="1250">
        <f t="shared" si="40"/>
        <v>0</v>
      </c>
      <c r="AJ25" s="1251">
        <f t="shared" si="41"/>
        <v>0</v>
      </c>
      <c r="AK25" s="1251">
        <f t="shared" si="42"/>
        <v>0</v>
      </c>
      <c r="AL25" s="1251">
        <f t="shared" si="43"/>
        <v>0</v>
      </c>
      <c r="AM25" s="1252">
        <f t="shared" si="44"/>
        <v>0</v>
      </c>
      <c r="AN25" s="317">
        <f t="shared" ref="AN25:AN67" si="66">IF(C25&lt;0,1,$AQ$17*(1-WEIBULL(C25/$B25,$AO$17,$AO$18,1)))</f>
        <v>0</v>
      </c>
      <c r="AO25" s="318">
        <f t="shared" ref="AO25:AO67" si="67">IF(D25&lt;0,1,$AQ$17*(1-WEIBULL(D25/$B25,$AO$17,$AO$18,1)))</f>
        <v>0</v>
      </c>
      <c r="AP25" s="318">
        <f t="shared" ref="AP25:AP67" si="68">IF(E25&lt;0,1,$AQ$17*(1-WEIBULL(E25/$B25,$AO$17,$AO$18,1)))</f>
        <v>0</v>
      </c>
      <c r="AQ25" s="318">
        <f t="shared" ref="AQ25:AQ67" si="69">IF(F25&lt;0,1,$AQ$17*(1-WEIBULL(F25/$B25,$AO$17,$AO$18,1)))</f>
        <v>0</v>
      </c>
      <c r="AR25" s="319">
        <f t="shared" ref="AR25:AR67" si="70">IF(G25&lt;0,1,$AQ$17*(1-WEIBULL(G25/$B25,$AO$17,$AO$18,1)))</f>
        <v>0</v>
      </c>
      <c r="AS25" s="314">
        <f t="shared" ca="1" si="46"/>
        <v>0</v>
      </c>
      <c r="AT25" s="315">
        <f t="shared" ca="1" si="47"/>
        <v>0</v>
      </c>
      <c r="AU25" s="315">
        <f t="shared" ca="1" si="48"/>
        <v>0</v>
      </c>
      <c r="AV25" s="315">
        <f t="shared" ca="1" si="49"/>
        <v>0</v>
      </c>
      <c r="AW25" s="316">
        <f t="shared" ca="1" si="50"/>
        <v>0</v>
      </c>
      <c r="AX25" s="861">
        <f t="shared" ca="1" si="51"/>
        <v>0</v>
      </c>
      <c r="AY25" s="315">
        <f t="shared" ca="1" si="52"/>
        <v>0</v>
      </c>
      <c r="AZ25" s="315">
        <f t="shared" ca="1" si="53"/>
        <v>0</v>
      </c>
      <c r="BA25" s="315">
        <f t="shared" ref="BA25:BA67" ca="1" si="71">MIN(AV25*AQ25,1)</f>
        <v>0</v>
      </c>
      <c r="BB25" s="697">
        <f t="shared" ref="BB25:BB67" ca="1" si="72">MIN(AW25*AR25,1)</f>
        <v>0</v>
      </c>
      <c r="BC25" s="314">
        <f t="shared" ref="BC25:BC67" ca="1" si="73">1-SUM(BD25:BH25)</f>
        <v>1</v>
      </c>
      <c r="BD25" s="315">
        <f t="shared" ca="1" si="56"/>
        <v>0</v>
      </c>
      <c r="BE25" s="315">
        <f t="shared" ca="1" si="57"/>
        <v>0</v>
      </c>
      <c r="BF25" s="315">
        <f t="shared" ca="1" si="58"/>
        <v>0</v>
      </c>
      <c r="BG25" s="315">
        <f t="shared" ca="1" si="59"/>
        <v>0</v>
      </c>
      <c r="BH25" s="316">
        <f t="shared" ca="1" si="60"/>
        <v>0</v>
      </c>
    </row>
    <row r="26" spans="1:60" x14ac:dyDescent="0.2">
      <c r="A26" s="306">
        <v>2009</v>
      </c>
      <c r="B26" s="916">
        <f t="shared" si="26"/>
        <v>156000</v>
      </c>
      <c r="C26" s="917">
        <f t="shared" si="26"/>
        <v>1000000</v>
      </c>
      <c r="D26" s="917">
        <f t="shared" si="26"/>
        <v>1000000</v>
      </c>
      <c r="E26" s="917">
        <f t="shared" si="26"/>
        <v>1000000</v>
      </c>
      <c r="F26" s="917">
        <f t="shared" si="26"/>
        <v>1000000</v>
      </c>
      <c r="G26" s="918">
        <f t="shared" si="26"/>
        <v>1000000</v>
      </c>
      <c r="H26" s="886">
        <f t="shared" si="27"/>
        <v>1</v>
      </c>
      <c r="I26" s="887">
        <f t="shared" si="27"/>
        <v>1</v>
      </c>
      <c r="J26" s="887">
        <f t="shared" si="27"/>
        <v>1</v>
      </c>
      <c r="K26" s="887">
        <f t="shared" si="27"/>
        <v>1</v>
      </c>
      <c r="L26" s="887">
        <f t="shared" si="27"/>
        <v>1</v>
      </c>
      <c r="M26" s="888">
        <f t="shared" si="27"/>
        <v>1</v>
      </c>
      <c r="N26" s="293">
        <f t="shared" si="28"/>
        <v>8453.0935655834746</v>
      </c>
      <c r="O26" s="294">
        <f t="shared" si="29"/>
        <v>50108.872310605373</v>
      </c>
      <c r="P26" s="294">
        <f t="shared" si="30"/>
        <v>50108.872310605373</v>
      </c>
      <c r="Q26" s="294">
        <f t="shared" si="31"/>
        <v>50108.872310605373</v>
      </c>
      <c r="R26" s="294">
        <f t="shared" si="32"/>
        <v>50108.872310605373</v>
      </c>
      <c r="S26" s="296">
        <f t="shared" si="33"/>
        <v>192962.15644896321</v>
      </c>
      <c r="T26" s="307">
        <f t="shared" si="61"/>
        <v>-41655.778745021897</v>
      </c>
      <c r="U26" s="308">
        <f t="shared" si="62"/>
        <v>-41655.778745021897</v>
      </c>
      <c r="V26" s="308">
        <f t="shared" si="63"/>
        <v>-41655.778745021897</v>
      </c>
      <c r="W26" s="308">
        <f t="shared" si="64"/>
        <v>-41655.778745021897</v>
      </c>
      <c r="X26" s="310">
        <f t="shared" si="65"/>
        <v>-184509.06288337975</v>
      </c>
      <c r="Y26" s="311">
        <f ca="1">IF(AND(Y$22=TRUE,INDEX(CDRANGE_CLS1,MATCH($A26,$A$24:$A$67,0),MATCH(Y$20,$B$20:$G$20,0))&lt;$D$6/OPDAYS_Cls1),86,payback(C26,T26,disc_rate/12,85))</f>
        <v>86</v>
      </c>
      <c r="Z26" s="312">
        <f ca="1">IF(AND(Z$22=TRUE,INDEX(CDRANGE_CLS1,MATCH($A26,$A$24:$A$67,0),MATCH(Z$20,$B$20:$G$20,0))&lt;$D$6/OPDAYS_Cls1),86,payback(D26,U26,disc_rate/12,85))</f>
        <v>86</v>
      </c>
      <c r="AA26" s="312">
        <f ca="1">IF(AND(AA$22=TRUE,INDEX(CDRANGE_CLS1,MATCH($A26,$A$24:$A$67,0),MATCH(AA$20,$B$20:$G$20,0))&lt;$D$6/OPDAYS_Cls1),86,payback(E26,V26,disc_rate/12,85))</f>
        <v>86</v>
      </c>
      <c r="AB26" s="312">
        <f ca="1">IF(AND(AB$22=TRUE,INDEX(CDRANGE_CLS1,MATCH($A26,$A$24:$A$67,0),MATCH(AB$20,$B$20:$G$20,0))&lt;$D$6/OPDAYS_Cls1),86,payback(F26,W26,disc_rate/12,85))</f>
        <v>86</v>
      </c>
      <c r="AC26" s="313">
        <f ca="1">IF(AND(AC$22=TRUE,INDEX(CDRANGE_CLS1,MATCH($A26,$A$24:$A$67,0),MATCH(AC$20,$B$20:$G$20,0))&lt;$D$6/OPDAYS_Cls1),86,payback(G26,X26,disc_rate/12,85))</f>
        <v>86</v>
      </c>
      <c r="AD26" s="314">
        <f t="shared" si="35"/>
        <v>0</v>
      </c>
      <c r="AE26" s="315">
        <f t="shared" si="36"/>
        <v>0</v>
      </c>
      <c r="AF26" s="315">
        <f t="shared" si="37"/>
        <v>0</v>
      </c>
      <c r="AG26" s="315">
        <f t="shared" si="38"/>
        <v>0</v>
      </c>
      <c r="AH26" s="697">
        <f t="shared" si="39"/>
        <v>0</v>
      </c>
      <c r="AI26" s="1250">
        <f t="shared" si="40"/>
        <v>0</v>
      </c>
      <c r="AJ26" s="1251">
        <f t="shared" si="41"/>
        <v>0</v>
      </c>
      <c r="AK26" s="1251">
        <f t="shared" si="42"/>
        <v>0</v>
      </c>
      <c r="AL26" s="1251">
        <f t="shared" si="43"/>
        <v>0</v>
      </c>
      <c r="AM26" s="1252">
        <f t="shared" si="44"/>
        <v>0</v>
      </c>
      <c r="AN26" s="317">
        <f t="shared" si="66"/>
        <v>0</v>
      </c>
      <c r="AO26" s="318">
        <f t="shared" si="67"/>
        <v>0</v>
      </c>
      <c r="AP26" s="318">
        <f t="shared" si="68"/>
        <v>0</v>
      </c>
      <c r="AQ26" s="318">
        <f t="shared" si="69"/>
        <v>0</v>
      </c>
      <c r="AR26" s="319">
        <f t="shared" si="70"/>
        <v>0</v>
      </c>
      <c r="AS26" s="314">
        <f t="shared" ca="1" si="46"/>
        <v>0</v>
      </c>
      <c r="AT26" s="315">
        <f t="shared" ca="1" si="47"/>
        <v>0</v>
      </c>
      <c r="AU26" s="315">
        <f t="shared" ca="1" si="48"/>
        <v>0</v>
      </c>
      <c r="AV26" s="315">
        <f t="shared" ca="1" si="49"/>
        <v>0</v>
      </c>
      <c r="AW26" s="316">
        <f t="shared" ca="1" si="50"/>
        <v>0</v>
      </c>
      <c r="AX26" s="861">
        <f t="shared" ca="1" si="51"/>
        <v>0</v>
      </c>
      <c r="AY26" s="315">
        <f t="shared" ca="1" si="52"/>
        <v>0</v>
      </c>
      <c r="AZ26" s="315">
        <f t="shared" ca="1" si="53"/>
        <v>0</v>
      </c>
      <c r="BA26" s="315">
        <f t="shared" ca="1" si="71"/>
        <v>0</v>
      </c>
      <c r="BB26" s="697">
        <f t="shared" ca="1" si="72"/>
        <v>0</v>
      </c>
      <c r="BC26" s="314">
        <f t="shared" ca="1" si="73"/>
        <v>1</v>
      </c>
      <c r="BD26" s="315">
        <f t="shared" ca="1" si="56"/>
        <v>0</v>
      </c>
      <c r="BE26" s="315">
        <f t="shared" ca="1" si="57"/>
        <v>0</v>
      </c>
      <c r="BF26" s="315">
        <f t="shared" ca="1" si="58"/>
        <v>0</v>
      </c>
      <c r="BG26" s="315">
        <f t="shared" ca="1" si="59"/>
        <v>0</v>
      </c>
      <c r="BH26" s="316">
        <f t="shared" ca="1" si="60"/>
        <v>0</v>
      </c>
    </row>
    <row r="27" spans="1:60" ht="13.5" thickBot="1" x14ac:dyDescent="0.25">
      <c r="A27" s="718">
        <v>2010</v>
      </c>
      <c r="B27" s="919">
        <f t="shared" si="26"/>
        <v>156000</v>
      </c>
      <c r="C27" s="920">
        <f t="shared" si="26"/>
        <v>1000000</v>
      </c>
      <c r="D27" s="920">
        <f t="shared" si="26"/>
        <v>1000000</v>
      </c>
      <c r="E27" s="920">
        <f t="shared" si="26"/>
        <v>1000000</v>
      </c>
      <c r="F27" s="920">
        <f t="shared" si="26"/>
        <v>1000000</v>
      </c>
      <c r="G27" s="921">
        <f t="shared" si="26"/>
        <v>1000000</v>
      </c>
      <c r="H27" s="886">
        <f t="shared" si="27"/>
        <v>1</v>
      </c>
      <c r="I27" s="887">
        <f t="shared" si="27"/>
        <v>1</v>
      </c>
      <c r="J27" s="887">
        <f t="shared" si="27"/>
        <v>1</v>
      </c>
      <c r="K27" s="887">
        <f t="shared" si="27"/>
        <v>1</v>
      </c>
      <c r="L27" s="887">
        <f t="shared" si="27"/>
        <v>1</v>
      </c>
      <c r="M27" s="888">
        <f t="shared" si="27"/>
        <v>1</v>
      </c>
      <c r="N27" s="880">
        <f t="shared" si="28"/>
        <v>10135.417615223929</v>
      </c>
      <c r="O27" s="881">
        <f t="shared" si="29"/>
        <v>60072.425354062631</v>
      </c>
      <c r="P27" s="881">
        <f t="shared" si="30"/>
        <v>60072.425354062631</v>
      </c>
      <c r="Q27" s="881">
        <f t="shared" si="31"/>
        <v>60072.425354062631</v>
      </c>
      <c r="R27" s="881">
        <f t="shared" si="32"/>
        <v>60072.425354062631</v>
      </c>
      <c r="S27" s="882">
        <f t="shared" si="33"/>
        <v>192962.15644896321</v>
      </c>
      <c r="T27" s="321">
        <f t="shared" si="61"/>
        <v>-49937.0077388387</v>
      </c>
      <c r="U27" s="322">
        <f t="shared" si="62"/>
        <v>-49937.0077388387</v>
      </c>
      <c r="V27" s="322">
        <f t="shared" si="63"/>
        <v>-49937.0077388387</v>
      </c>
      <c r="W27" s="322">
        <f t="shared" si="64"/>
        <v>-49937.0077388387</v>
      </c>
      <c r="X27" s="324">
        <f t="shared" si="65"/>
        <v>-182826.73883373928</v>
      </c>
      <c r="Y27" s="325">
        <f ca="1">IF(AND(Y$22=TRUE,INDEX(CDRANGE_CLS1,MATCH($A27,$A$24:$A$67,0),MATCH(Y$20,$B$20:$G$20,0))&lt;$D$6/OPDAYS_Cls1),86,payback(C27,T27,disc_rate/12,85))</f>
        <v>86</v>
      </c>
      <c r="Z27" s="326">
        <f ca="1">IF(AND(Z$22=TRUE,INDEX(CDRANGE_CLS1,MATCH($A27,$A$24:$A$67,0),MATCH(Z$20,$B$20:$G$20,0))&lt;$D$6/OPDAYS_Cls1),86,payback(D27,U27,disc_rate/12,85))</f>
        <v>86</v>
      </c>
      <c r="AA27" s="326">
        <f ca="1">IF(AND(AA$22=TRUE,INDEX(CDRANGE_CLS1,MATCH($A27,$A$24:$A$67,0),MATCH(AA$20,$B$20:$G$20,0))&lt;$D$6/OPDAYS_Cls1),86,payback(E27,V27,disc_rate/12,85))</f>
        <v>86</v>
      </c>
      <c r="AB27" s="326">
        <f ca="1">IF(AND(AB$22=TRUE,INDEX(CDRANGE_CLS1,MATCH($A27,$A$24:$A$67,0),MATCH(AB$20,$B$20:$G$20,0))&lt;$D$6/OPDAYS_Cls1),86,payback(F27,W27,disc_rate/12,85))</f>
        <v>86</v>
      </c>
      <c r="AC27" s="327">
        <f ca="1">IF(AND(AC$22=TRUE,INDEX(CDRANGE_CLS1,MATCH($A27,$A$24:$A$67,0),MATCH(AC$20,$B$20:$G$20,0))&lt;$D$6/OPDAYS_Cls1),86,payback(G27,X27,disc_rate/12,85))</f>
        <v>86</v>
      </c>
      <c r="AD27" s="328">
        <f t="shared" si="35"/>
        <v>0</v>
      </c>
      <c r="AE27" s="329">
        <f t="shared" si="36"/>
        <v>0</v>
      </c>
      <c r="AF27" s="329">
        <f t="shared" si="37"/>
        <v>0</v>
      </c>
      <c r="AG27" s="329">
        <f t="shared" si="38"/>
        <v>0</v>
      </c>
      <c r="AH27" s="863">
        <f t="shared" si="39"/>
        <v>0</v>
      </c>
      <c r="AI27" s="1253">
        <f t="shared" si="40"/>
        <v>0</v>
      </c>
      <c r="AJ27" s="1254">
        <f t="shared" si="41"/>
        <v>0</v>
      </c>
      <c r="AK27" s="1254">
        <f t="shared" si="42"/>
        <v>0</v>
      </c>
      <c r="AL27" s="1254">
        <f t="shared" si="43"/>
        <v>0</v>
      </c>
      <c r="AM27" s="1255">
        <f t="shared" si="44"/>
        <v>0</v>
      </c>
      <c r="AN27" s="331">
        <f t="shared" si="66"/>
        <v>0</v>
      </c>
      <c r="AO27" s="332">
        <f t="shared" si="67"/>
        <v>0</v>
      </c>
      <c r="AP27" s="332">
        <f t="shared" si="68"/>
        <v>0</v>
      </c>
      <c r="AQ27" s="332">
        <f t="shared" si="69"/>
        <v>0</v>
      </c>
      <c r="AR27" s="333">
        <f t="shared" si="70"/>
        <v>0</v>
      </c>
      <c r="AS27" s="328">
        <f t="shared" ca="1" si="46"/>
        <v>0</v>
      </c>
      <c r="AT27" s="329">
        <f t="shared" ca="1" si="47"/>
        <v>0</v>
      </c>
      <c r="AU27" s="329">
        <f t="shared" ca="1" si="48"/>
        <v>0</v>
      </c>
      <c r="AV27" s="329">
        <f t="shared" ca="1" si="49"/>
        <v>0</v>
      </c>
      <c r="AW27" s="330">
        <f t="shared" ca="1" si="50"/>
        <v>0</v>
      </c>
      <c r="AX27" s="862">
        <f t="shared" ca="1" si="51"/>
        <v>0</v>
      </c>
      <c r="AY27" s="725">
        <f t="shared" ca="1" si="52"/>
        <v>0</v>
      </c>
      <c r="AZ27" s="725">
        <f t="shared" ca="1" si="53"/>
        <v>0</v>
      </c>
      <c r="BA27" s="725">
        <f t="shared" ca="1" si="71"/>
        <v>0</v>
      </c>
      <c r="BB27" s="745">
        <f t="shared" ca="1" si="72"/>
        <v>0</v>
      </c>
      <c r="BC27" s="328">
        <f t="shared" ca="1" si="73"/>
        <v>1</v>
      </c>
      <c r="BD27" s="329">
        <f t="shared" ca="1" si="56"/>
        <v>0</v>
      </c>
      <c r="BE27" s="329">
        <f t="shared" ca="1" si="57"/>
        <v>0</v>
      </c>
      <c r="BF27" s="329">
        <f t="shared" ca="1" si="58"/>
        <v>0</v>
      </c>
      <c r="BG27" s="329">
        <f t="shared" ca="1" si="59"/>
        <v>0</v>
      </c>
      <c r="BH27" s="330">
        <f t="shared" ca="1" si="60"/>
        <v>0</v>
      </c>
    </row>
    <row r="28" spans="1:60" x14ac:dyDescent="0.2">
      <c r="A28" s="336">
        <v>2011</v>
      </c>
      <c r="B28" s="922">
        <f t="shared" si="26"/>
        <v>156000</v>
      </c>
      <c r="C28" s="923">
        <f t="shared" si="26"/>
        <v>1000000</v>
      </c>
      <c r="D28" s="923">
        <f t="shared" si="26"/>
        <v>1000000</v>
      </c>
      <c r="E28" s="923">
        <f t="shared" si="26"/>
        <v>1000000</v>
      </c>
      <c r="F28" s="923">
        <f t="shared" si="26"/>
        <v>1000000</v>
      </c>
      <c r="G28" s="924">
        <f t="shared" si="26"/>
        <v>1000000</v>
      </c>
      <c r="H28" s="886">
        <f t="shared" si="27"/>
        <v>1</v>
      </c>
      <c r="I28" s="887">
        <f t="shared" si="27"/>
        <v>1</v>
      </c>
      <c r="J28" s="887">
        <f t="shared" si="27"/>
        <v>1</v>
      </c>
      <c r="K28" s="887">
        <f t="shared" si="27"/>
        <v>1</v>
      </c>
      <c r="L28" s="887">
        <f t="shared" si="27"/>
        <v>1</v>
      </c>
      <c r="M28" s="888">
        <f t="shared" si="27"/>
        <v>1</v>
      </c>
      <c r="N28" s="731">
        <f t="shared" si="28"/>
        <v>12500.045728460616</v>
      </c>
      <c r="O28" s="732">
        <f t="shared" si="29"/>
        <v>75554.699850159261</v>
      </c>
      <c r="P28" s="732">
        <f t="shared" si="30"/>
        <v>75554.699850159261</v>
      </c>
      <c r="Q28" s="732">
        <f t="shared" si="31"/>
        <v>75554.699850159261</v>
      </c>
      <c r="R28" s="732">
        <f t="shared" si="32"/>
        <v>75554.699850159261</v>
      </c>
      <c r="S28" s="846">
        <f t="shared" si="33"/>
        <v>192962.15644896321</v>
      </c>
      <c r="T28" s="836">
        <f t="shared" si="61"/>
        <v>-63054.654121698644</v>
      </c>
      <c r="U28" s="732">
        <f t="shared" si="62"/>
        <v>-63054.654121698644</v>
      </c>
      <c r="V28" s="732">
        <f t="shared" si="63"/>
        <v>-63054.654121698644</v>
      </c>
      <c r="W28" s="732">
        <f t="shared" si="64"/>
        <v>-63054.654121698644</v>
      </c>
      <c r="X28" s="733">
        <f t="shared" si="65"/>
        <v>-180462.11072050259</v>
      </c>
      <c r="Y28" s="734">
        <f ca="1">IF(AND(Y$22=TRUE,INDEX(CDRANGE_CLS1,MATCH($A28,$A$24:$A$67,0),MATCH(Y$20,$B$20:$G$20,0))&lt;$D$6/OPDAYS_Cls1),86,payback(C28,T28,disc_rate/12,85))</f>
        <v>86</v>
      </c>
      <c r="Z28" s="735">
        <f ca="1">IF(AND(Z$22=TRUE,INDEX(CDRANGE_CLS1,MATCH($A28,$A$24:$A$67,0),MATCH(Z$20,$B$20:$G$20,0))&lt;$D$6/OPDAYS_Cls1),86,payback(D28,U28,disc_rate/12,85))</f>
        <v>86</v>
      </c>
      <c r="AA28" s="735">
        <f ca="1">IF(AND(AA$22=TRUE,INDEX(CDRANGE_CLS1,MATCH($A28,$A$24:$A$67,0),MATCH(AA$20,$B$20:$G$20,0))&lt;$D$6/OPDAYS_Cls1),86,payback(E28,V28,disc_rate/12,85))</f>
        <v>86</v>
      </c>
      <c r="AB28" s="735">
        <f ca="1">IF(AND(AB$22=TRUE,INDEX(CDRANGE_CLS1,MATCH($A28,$A$24:$A$67,0),MATCH(AB$20,$B$20:$G$20,0))&lt;$D$6/OPDAYS_Cls1),86,payback(F28,W28,disc_rate/12,85))</f>
        <v>86</v>
      </c>
      <c r="AC28" s="736">
        <f ca="1">IF(AND(AC$22=TRUE,INDEX(CDRANGE_CLS1,MATCH($A28,$A$24:$A$67,0),MATCH(AC$20,$B$20:$G$20,0))&lt;$D$6/OPDAYS_Cls1),86,payback(G28,X28,disc_rate/12,85))</f>
        <v>86</v>
      </c>
      <c r="AD28" s="737">
        <f t="shared" si="35"/>
        <v>0</v>
      </c>
      <c r="AE28" s="738">
        <f t="shared" si="36"/>
        <v>0</v>
      </c>
      <c r="AF28" s="738">
        <f t="shared" si="37"/>
        <v>0</v>
      </c>
      <c r="AG28" s="738">
        <f t="shared" si="38"/>
        <v>0</v>
      </c>
      <c r="AH28" s="739">
        <f t="shared" si="39"/>
        <v>0</v>
      </c>
      <c r="AI28" s="1256">
        <f t="shared" si="40"/>
        <v>0</v>
      </c>
      <c r="AJ28" s="1257">
        <f t="shared" si="41"/>
        <v>0</v>
      </c>
      <c r="AK28" s="1257">
        <f t="shared" si="42"/>
        <v>0</v>
      </c>
      <c r="AL28" s="1257">
        <f t="shared" si="43"/>
        <v>0</v>
      </c>
      <c r="AM28" s="1258">
        <f t="shared" si="44"/>
        <v>0</v>
      </c>
      <c r="AN28" s="743">
        <f t="shared" si="66"/>
        <v>0</v>
      </c>
      <c r="AO28" s="741">
        <f t="shared" si="67"/>
        <v>0</v>
      </c>
      <c r="AP28" s="741">
        <f t="shared" si="68"/>
        <v>0</v>
      </c>
      <c r="AQ28" s="741">
        <f t="shared" si="69"/>
        <v>0</v>
      </c>
      <c r="AR28" s="742">
        <f t="shared" si="70"/>
        <v>0</v>
      </c>
      <c r="AS28" s="737">
        <f t="shared" ca="1" si="46"/>
        <v>0</v>
      </c>
      <c r="AT28" s="738">
        <f t="shared" ca="1" si="47"/>
        <v>0</v>
      </c>
      <c r="AU28" s="738">
        <f t="shared" ca="1" si="48"/>
        <v>0</v>
      </c>
      <c r="AV28" s="738">
        <f t="shared" ca="1" si="49"/>
        <v>0</v>
      </c>
      <c r="AW28" s="739">
        <f t="shared" ca="1" si="50"/>
        <v>0</v>
      </c>
      <c r="AX28" s="737">
        <f t="shared" ca="1" si="51"/>
        <v>0</v>
      </c>
      <c r="AY28" s="738">
        <f t="shared" ca="1" si="52"/>
        <v>0</v>
      </c>
      <c r="AZ28" s="738">
        <f t="shared" ca="1" si="53"/>
        <v>0</v>
      </c>
      <c r="BA28" s="738">
        <f t="shared" ca="1" si="71"/>
        <v>0</v>
      </c>
      <c r="BB28" s="739">
        <f t="shared" ca="1" si="72"/>
        <v>0</v>
      </c>
      <c r="BC28" s="737">
        <f t="shared" ca="1" si="73"/>
        <v>1</v>
      </c>
      <c r="BD28" s="738">
        <f t="shared" ca="1" si="56"/>
        <v>0</v>
      </c>
      <c r="BE28" s="738">
        <f t="shared" ca="1" si="57"/>
        <v>0</v>
      </c>
      <c r="BF28" s="738">
        <f t="shared" ca="1" si="58"/>
        <v>0</v>
      </c>
      <c r="BG28" s="738">
        <f t="shared" ca="1" si="59"/>
        <v>0</v>
      </c>
      <c r="BH28" s="739">
        <f t="shared" ca="1" si="60"/>
        <v>0</v>
      </c>
    </row>
    <row r="29" spans="1:60" x14ac:dyDescent="0.2">
      <c r="A29" s="335">
        <v>2012</v>
      </c>
      <c r="B29" s="925">
        <f t="shared" si="26"/>
        <v>156000</v>
      </c>
      <c r="C29" s="926">
        <f t="shared" si="26"/>
        <v>1000000</v>
      </c>
      <c r="D29" s="926">
        <f t="shared" si="26"/>
        <v>1000000</v>
      </c>
      <c r="E29" s="926">
        <f t="shared" si="26"/>
        <v>1000000</v>
      </c>
      <c r="F29" s="926">
        <f t="shared" si="26"/>
        <v>1000000</v>
      </c>
      <c r="G29" s="927">
        <f t="shared" si="26"/>
        <v>1000000</v>
      </c>
      <c r="H29" s="886">
        <f t="shared" si="27"/>
        <v>1</v>
      </c>
      <c r="I29" s="887">
        <f t="shared" si="27"/>
        <v>1</v>
      </c>
      <c r="J29" s="887">
        <f t="shared" si="27"/>
        <v>1</v>
      </c>
      <c r="K29" s="887">
        <f t="shared" si="27"/>
        <v>1</v>
      </c>
      <c r="L29" s="887">
        <f t="shared" si="27"/>
        <v>1</v>
      </c>
      <c r="M29" s="888">
        <f t="shared" si="27"/>
        <v>1</v>
      </c>
      <c r="N29" s="293">
        <f t="shared" si="28"/>
        <v>12586.938376280565</v>
      </c>
      <c r="O29" s="294">
        <f t="shared" si="29"/>
        <v>76687.546045541763</v>
      </c>
      <c r="P29" s="294">
        <f t="shared" si="30"/>
        <v>76687.546045541763</v>
      </c>
      <c r="Q29" s="294">
        <f t="shared" si="31"/>
        <v>76687.546045541763</v>
      </c>
      <c r="R29" s="294">
        <f t="shared" si="32"/>
        <v>76687.546045541763</v>
      </c>
      <c r="S29" s="296">
        <f t="shared" si="33"/>
        <v>192962.15644896321</v>
      </c>
      <c r="T29" s="834">
        <f t="shared" si="61"/>
        <v>-64100.607669261197</v>
      </c>
      <c r="U29" s="308">
        <f t="shared" si="62"/>
        <v>-64100.607669261197</v>
      </c>
      <c r="V29" s="308">
        <f t="shared" si="63"/>
        <v>-64100.607669261197</v>
      </c>
      <c r="W29" s="308">
        <f t="shared" si="64"/>
        <v>-64100.607669261197</v>
      </c>
      <c r="X29" s="309">
        <f t="shared" si="65"/>
        <v>-180375.21807268265</v>
      </c>
      <c r="Y29" s="311">
        <f ca="1">IF(AND(Y$22=TRUE,INDEX(CDRANGE_CLS1,MATCH($A29,$A$24:$A$67,0),MATCH(Y$20,$B$20:$G$20,0))&lt;$D$6/OPDAYS_Cls1),86,payback(C29,T29,disc_rate/12,85))</f>
        <v>86</v>
      </c>
      <c r="Z29" s="312">
        <f ca="1">IF(AND(Z$22=TRUE,INDEX(CDRANGE_CLS1,MATCH($A29,$A$24:$A$67,0),MATCH(Z$20,$B$20:$G$20,0))&lt;$D$6/OPDAYS_Cls1),86,payback(D29,U29,disc_rate/12,85))</f>
        <v>86</v>
      </c>
      <c r="AA29" s="312">
        <f ca="1">IF(AND(AA$22=TRUE,INDEX(CDRANGE_CLS1,MATCH($A29,$A$24:$A$67,0),MATCH(AA$20,$B$20:$G$20,0))&lt;$D$6/OPDAYS_Cls1),86,payback(E29,V29,disc_rate/12,85))</f>
        <v>86</v>
      </c>
      <c r="AB29" s="312">
        <f ca="1">IF(AND(AB$22=TRUE,INDEX(CDRANGE_CLS1,MATCH($A29,$A$24:$A$67,0),MATCH(AB$20,$B$20:$G$20,0))&lt;$D$6/OPDAYS_Cls1),86,payback(F29,W29,disc_rate/12,85))</f>
        <v>86</v>
      </c>
      <c r="AC29" s="692">
        <f ca="1">IF(AND(AC$22=TRUE,INDEX(CDRANGE_CLS1,MATCH($A29,$A$24:$A$67,0),MATCH(AC$20,$B$20:$G$20,0))&lt;$D$6/OPDAYS_Cls1),86,payback(G29,X29,disc_rate/12,85))</f>
        <v>86</v>
      </c>
      <c r="AD29" s="314">
        <f t="shared" si="35"/>
        <v>0</v>
      </c>
      <c r="AE29" s="315">
        <f t="shared" si="36"/>
        <v>0</v>
      </c>
      <c r="AF29" s="315">
        <f t="shared" si="37"/>
        <v>0</v>
      </c>
      <c r="AG29" s="315">
        <f t="shared" si="38"/>
        <v>0</v>
      </c>
      <c r="AH29" s="316">
        <f t="shared" si="39"/>
        <v>0</v>
      </c>
      <c r="AI29" s="1250">
        <f t="shared" si="40"/>
        <v>0</v>
      </c>
      <c r="AJ29" s="1251">
        <f t="shared" si="41"/>
        <v>0</v>
      </c>
      <c r="AK29" s="1251">
        <f t="shared" si="42"/>
        <v>0</v>
      </c>
      <c r="AL29" s="1251">
        <f t="shared" si="43"/>
        <v>0</v>
      </c>
      <c r="AM29" s="1259">
        <f t="shared" si="44"/>
        <v>0</v>
      </c>
      <c r="AN29" s="317">
        <f t="shared" si="66"/>
        <v>0</v>
      </c>
      <c r="AO29" s="318">
        <f t="shared" si="67"/>
        <v>0</v>
      </c>
      <c r="AP29" s="318">
        <f t="shared" si="68"/>
        <v>0</v>
      </c>
      <c r="AQ29" s="318">
        <f t="shared" si="69"/>
        <v>0</v>
      </c>
      <c r="AR29" s="698">
        <f t="shared" si="70"/>
        <v>0</v>
      </c>
      <c r="AS29" s="314">
        <f t="shared" ca="1" si="46"/>
        <v>0</v>
      </c>
      <c r="AT29" s="315">
        <f t="shared" ca="1" si="47"/>
        <v>0</v>
      </c>
      <c r="AU29" s="315">
        <f t="shared" ca="1" si="48"/>
        <v>0</v>
      </c>
      <c r="AV29" s="315">
        <f t="shared" ca="1" si="49"/>
        <v>0</v>
      </c>
      <c r="AW29" s="316">
        <f t="shared" ca="1" si="50"/>
        <v>0</v>
      </c>
      <c r="AX29" s="314">
        <f t="shared" ca="1" si="51"/>
        <v>0</v>
      </c>
      <c r="AY29" s="315">
        <f t="shared" ca="1" si="52"/>
        <v>0</v>
      </c>
      <c r="AZ29" s="315">
        <f t="shared" ca="1" si="53"/>
        <v>0</v>
      </c>
      <c r="BA29" s="315">
        <f t="shared" ca="1" si="71"/>
        <v>0</v>
      </c>
      <c r="BB29" s="316">
        <f t="shared" ca="1" si="72"/>
        <v>0</v>
      </c>
      <c r="BC29" s="314">
        <f t="shared" ca="1" si="73"/>
        <v>1</v>
      </c>
      <c r="BD29" s="315">
        <f t="shared" ca="1" si="56"/>
        <v>0</v>
      </c>
      <c r="BE29" s="315">
        <f t="shared" ca="1" si="57"/>
        <v>0</v>
      </c>
      <c r="BF29" s="315">
        <f t="shared" ca="1" si="58"/>
        <v>0</v>
      </c>
      <c r="BG29" s="315">
        <f t="shared" ca="1" si="59"/>
        <v>0</v>
      </c>
      <c r="BH29" s="316">
        <f t="shared" ca="1" si="60"/>
        <v>0</v>
      </c>
    </row>
    <row r="30" spans="1:60" x14ac:dyDescent="0.2">
      <c r="A30" s="335">
        <v>2013</v>
      </c>
      <c r="B30" s="925">
        <f t="shared" si="26"/>
        <v>156000</v>
      </c>
      <c r="C30" s="926">
        <f t="shared" si="26"/>
        <v>1000000</v>
      </c>
      <c r="D30" s="926">
        <f t="shared" si="26"/>
        <v>1000000</v>
      </c>
      <c r="E30" s="926">
        <f t="shared" si="26"/>
        <v>1000000</v>
      </c>
      <c r="F30" s="926">
        <f t="shared" si="26"/>
        <v>1000000</v>
      </c>
      <c r="G30" s="927">
        <f t="shared" si="26"/>
        <v>1000000</v>
      </c>
      <c r="H30" s="886">
        <f t="shared" si="27"/>
        <v>1</v>
      </c>
      <c r="I30" s="887">
        <f t="shared" si="27"/>
        <v>1</v>
      </c>
      <c r="J30" s="887">
        <f t="shared" si="27"/>
        <v>1</v>
      </c>
      <c r="K30" s="887">
        <f t="shared" si="27"/>
        <v>1</v>
      </c>
      <c r="L30" s="887">
        <f t="shared" si="27"/>
        <v>1</v>
      </c>
      <c r="M30" s="888">
        <f t="shared" si="27"/>
        <v>1</v>
      </c>
      <c r="N30" s="293">
        <f t="shared" si="28"/>
        <v>12105.74968962731</v>
      </c>
      <c r="O30" s="294">
        <f t="shared" si="29"/>
        <v>75156.639074372681</v>
      </c>
      <c r="P30" s="294">
        <f t="shared" si="30"/>
        <v>75156.639074372681</v>
      </c>
      <c r="Q30" s="294">
        <f t="shared" si="31"/>
        <v>75156.639074372681</v>
      </c>
      <c r="R30" s="294">
        <f t="shared" si="32"/>
        <v>75156.639074372681</v>
      </c>
      <c r="S30" s="296">
        <f t="shared" si="33"/>
        <v>192962.15644896321</v>
      </c>
      <c r="T30" s="834">
        <f t="shared" si="61"/>
        <v>-63050.889384745373</v>
      </c>
      <c r="U30" s="308">
        <f t="shared" si="62"/>
        <v>-63050.889384745373</v>
      </c>
      <c r="V30" s="308">
        <f t="shared" si="63"/>
        <v>-63050.889384745373</v>
      </c>
      <c r="W30" s="308">
        <f t="shared" si="64"/>
        <v>-63050.889384745373</v>
      </c>
      <c r="X30" s="309">
        <f t="shared" si="65"/>
        <v>-180856.40675933589</v>
      </c>
      <c r="Y30" s="311">
        <f ca="1">IF(AND(Y$22=TRUE,INDEX(CDRANGE_CLS1,MATCH($A30,$A$24:$A$67,0),MATCH(Y$20,$B$20:$G$20,0))&lt;$D$6/OPDAYS_Cls1),86,payback(C30,T30,disc_rate/12,85))</f>
        <v>86</v>
      </c>
      <c r="Z30" s="312">
        <f ca="1">IF(AND(Z$22=TRUE,INDEX(CDRANGE_CLS1,MATCH($A30,$A$24:$A$67,0),MATCH(Z$20,$B$20:$G$20,0))&lt;$D$6/OPDAYS_Cls1),86,payback(D30,U30,disc_rate/12,85))</f>
        <v>86</v>
      </c>
      <c r="AA30" s="312">
        <f ca="1">IF(AND(AA$22=TRUE,INDEX(CDRANGE_CLS1,MATCH($A30,$A$24:$A$67,0),MATCH(AA$20,$B$20:$G$20,0))&lt;$D$6/OPDAYS_Cls1),86,payback(E30,V30,disc_rate/12,85))</f>
        <v>86</v>
      </c>
      <c r="AB30" s="312">
        <f ca="1">IF(AND(AB$22=TRUE,INDEX(CDRANGE_CLS1,MATCH($A30,$A$24:$A$67,0),MATCH(AB$20,$B$20:$G$20,0))&lt;$D$6/OPDAYS_Cls1),86,payback(F30,W30,disc_rate/12,85))</f>
        <v>86</v>
      </c>
      <c r="AC30" s="692">
        <f ca="1">IF(AND(AC$22=TRUE,INDEX(CDRANGE_CLS1,MATCH($A30,$A$24:$A$67,0),MATCH(AC$20,$B$20:$G$20,0))&lt;$D$6/OPDAYS_Cls1),86,payback(G30,X30,disc_rate/12,85))</f>
        <v>86</v>
      </c>
      <c r="AD30" s="314">
        <f t="shared" si="35"/>
        <v>0</v>
      </c>
      <c r="AE30" s="315">
        <f t="shared" si="36"/>
        <v>0</v>
      </c>
      <c r="AF30" s="315">
        <f t="shared" si="37"/>
        <v>0</v>
      </c>
      <c r="AG30" s="315">
        <f t="shared" si="38"/>
        <v>0</v>
      </c>
      <c r="AH30" s="316">
        <f t="shared" si="39"/>
        <v>0</v>
      </c>
      <c r="AI30" s="1250">
        <f t="shared" si="40"/>
        <v>0</v>
      </c>
      <c r="AJ30" s="1251">
        <f t="shared" si="41"/>
        <v>0</v>
      </c>
      <c r="AK30" s="1251">
        <f t="shared" si="42"/>
        <v>0</v>
      </c>
      <c r="AL30" s="1251">
        <f t="shared" si="43"/>
        <v>0</v>
      </c>
      <c r="AM30" s="1259">
        <f t="shared" si="44"/>
        <v>0</v>
      </c>
      <c r="AN30" s="317">
        <f t="shared" si="66"/>
        <v>0</v>
      </c>
      <c r="AO30" s="318">
        <f t="shared" si="67"/>
        <v>0</v>
      </c>
      <c r="AP30" s="318">
        <f t="shared" si="68"/>
        <v>0</v>
      </c>
      <c r="AQ30" s="318">
        <f t="shared" si="69"/>
        <v>0</v>
      </c>
      <c r="AR30" s="698">
        <f t="shared" si="70"/>
        <v>0</v>
      </c>
      <c r="AS30" s="314">
        <f t="shared" ca="1" si="46"/>
        <v>0</v>
      </c>
      <c r="AT30" s="315">
        <f t="shared" ca="1" si="47"/>
        <v>0</v>
      </c>
      <c r="AU30" s="315">
        <f t="shared" ca="1" si="48"/>
        <v>0</v>
      </c>
      <c r="AV30" s="315">
        <f t="shared" ca="1" si="49"/>
        <v>0</v>
      </c>
      <c r="AW30" s="316">
        <f t="shared" ca="1" si="50"/>
        <v>0</v>
      </c>
      <c r="AX30" s="314">
        <f t="shared" ca="1" si="51"/>
        <v>0</v>
      </c>
      <c r="AY30" s="315">
        <f t="shared" ca="1" si="52"/>
        <v>0</v>
      </c>
      <c r="AZ30" s="315">
        <f t="shared" ca="1" si="53"/>
        <v>0</v>
      </c>
      <c r="BA30" s="315">
        <f t="shared" ca="1" si="71"/>
        <v>0</v>
      </c>
      <c r="BB30" s="316">
        <f t="shared" ca="1" si="72"/>
        <v>0</v>
      </c>
      <c r="BC30" s="314">
        <f t="shared" ca="1" si="73"/>
        <v>1</v>
      </c>
      <c r="BD30" s="315">
        <f t="shared" ca="1" si="56"/>
        <v>0</v>
      </c>
      <c r="BE30" s="315">
        <f t="shared" ca="1" si="57"/>
        <v>0</v>
      </c>
      <c r="BF30" s="315">
        <f t="shared" ca="1" si="58"/>
        <v>0</v>
      </c>
      <c r="BG30" s="315">
        <f t="shared" ca="1" si="59"/>
        <v>0</v>
      </c>
      <c r="BH30" s="316">
        <f t="shared" ca="1" si="60"/>
        <v>0</v>
      </c>
    </row>
    <row r="31" spans="1:60" x14ac:dyDescent="0.2">
      <c r="A31" s="335">
        <v>2014</v>
      </c>
      <c r="B31" s="925">
        <f t="shared" si="26"/>
        <v>156000</v>
      </c>
      <c r="C31" s="926">
        <f t="shared" si="26"/>
        <v>1000000</v>
      </c>
      <c r="D31" s="926">
        <f t="shared" si="26"/>
        <v>1000000</v>
      </c>
      <c r="E31" s="926">
        <f t="shared" si="26"/>
        <v>1000000</v>
      </c>
      <c r="F31" s="926">
        <f t="shared" si="26"/>
        <v>1000000</v>
      </c>
      <c r="G31" s="927">
        <f t="shared" si="26"/>
        <v>1000000</v>
      </c>
      <c r="H31" s="886">
        <f t="shared" si="27"/>
        <v>1</v>
      </c>
      <c r="I31" s="887">
        <f t="shared" si="27"/>
        <v>1</v>
      </c>
      <c r="J31" s="887">
        <f t="shared" si="27"/>
        <v>1</v>
      </c>
      <c r="K31" s="887">
        <f t="shared" si="27"/>
        <v>1</v>
      </c>
      <c r="L31" s="887">
        <f t="shared" si="27"/>
        <v>1</v>
      </c>
      <c r="M31" s="888">
        <f t="shared" si="27"/>
        <v>1</v>
      </c>
      <c r="N31" s="293">
        <f t="shared" si="28"/>
        <v>11323.13081001825</v>
      </c>
      <c r="O31" s="294">
        <f t="shared" si="29"/>
        <v>71929.58063090581</v>
      </c>
      <c r="P31" s="294">
        <f t="shared" si="30"/>
        <v>71929.58063090581</v>
      </c>
      <c r="Q31" s="294">
        <f t="shared" si="31"/>
        <v>71929.58063090581</v>
      </c>
      <c r="R31" s="294">
        <f t="shared" si="32"/>
        <v>71929.58063090581</v>
      </c>
      <c r="S31" s="296">
        <f t="shared" si="33"/>
        <v>192962.15644896321</v>
      </c>
      <c r="T31" s="834">
        <f t="shared" si="61"/>
        <v>-60606.449820887559</v>
      </c>
      <c r="U31" s="308">
        <f t="shared" si="62"/>
        <v>-60606.449820887559</v>
      </c>
      <c r="V31" s="308">
        <f t="shared" si="63"/>
        <v>-60606.449820887559</v>
      </c>
      <c r="W31" s="308">
        <f t="shared" si="64"/>
        <v>-60606.449820887559</v>
      </c>
      <c r="X31" s="309">
        <f t="shared" si="65"/>
        <v>-181639.02563894496</v>
      </c>
      <c r="Y31" s="311">
        <f ca="1">IF(AND(Y$22=TRUE,INDEX(CDRANGE_CLS1,MATCH($A31,$A$24:$A$67,0),MATCH(Y$20,$B$20:$G$20,0))&lt;$D$6/OPDAYS_Cls1),86,payback(C31,T31,disc_rate/12,85))</f>
        <v>86</v>
      </c>
      <c r="Z31" s="312">
        <f ca="1">IF(AND(Z$22=TRUE,INDEX(CDRANGE_CLS1,MATCH($A31,$A$24:$A$67,0),MATCH(Z$20,$B$20:$G$20,0))&lt;$D$6/OPDAYS_Cls1),86,payback(D31,U31,disc_rate/12,85))</f>
        <v>86</v>
      </c>
      <c r="AA31" s="312">
        <f ca="1">IF(AND(AA$22=TRUE,INDEX(CDRANGE_CLS1,MATCH($A31,$A$24:$A$67,0),MATCH(AA$20,$B$20:$G$20,0))&lt;$D$6/OPDAYS_Cls1),86,payback(E31,V31,disc_rate/12,85))</f>
        <v>86</v>
      </c>
      <c r="AB31" s="312">
        <f ca="1">IF(AND(AB$22=TRUE,INDEX(CDRANGE_CLS1,MATCH($A31,$A$24:$A$67,0),MATCH(AB$20,$B$20:$G$20,0))&lt;$D$6/OPDAYS_Cls1),86,payback(F31,W31,disc_rate/12,85))</f>
        <v>86</v>
      </c>
      <c r="AC31" s="692">
        <f ca="1">IF(AND(AC$22=TRUE,INDEX(CDRANGE_CLS1,MATCH($A31,$A$24:$A$67,0),MATCH(AC$20,$B$20:$G$20,0))&lt;$D$6/OPDAYS_Cls1),86,payback(G31,X31,disc_rate/12,85))</f>
        <v>86</v>
      </c>
      <c r="AD31" s="314">
        <f t="shared" si="35"/>
        <v>0</v>
      </c>
      <c r="AE31" s="315">
        <f t="shared" si="36"/>
        <v>0</v>
      </c>
      <c r="AF31" s="315">
        <f t="shared" si="37"/>
        <v>0</v>
      </c>
      <c r="AG31" s="315">
        <f t="shared" si="38"/>
        <v>0</v>
      </c>
      <c r="AH31" s="316">
        <f t="shared" si="39"/>
        <v>0</v>
      </c>
      <c r="AI31" s="1250">
        <f t="shared" si="40"/>
        <v>0</v>
      </c>
      <c r="AJ31" s="1251">
        <f t="shared" si="41"/>
        <v>0</v>
      </c>
      <c r="AK31" s="1251">
        <f t="shared" si="42"/>
        <v>0</v>
      </c>
      <c r="AL31" s="1251">
        <f t="shared" si="43"/>
        <v>0</v>
      </c>
      <c r="AM31" s="1259">
        <f t="shared" si="44"/>
        <v>0</v>
      </c>
      <c r="AN31" s="317">
        <f t="shared" si="66"/>
        <v>0</v>
      </c>
      <c r="AO31" s="318">
        <f t="shared" si="67"/>
        <v>0</v>
      </c>
      <c r="AP31" s="318">
        <f t="shared" si="68"/>
        <v>0</v>
      </c>
      <c r="AQ31" s="318">
        <f t="shared" si="69"/>
        <v>0</v>
      </c>
      <c r="AR31" s="698">
        <f t="shared" si="70"/>
        <v>0</v>
      </c>
      <c r="AS31" s="314">
        <f t="shared" ca="1" si="46"/>
        <v>0</v>
      </c>
      <c r="AT31" s="315">
        <f t="shared" ca="1" si="47"/>
        <v>0</v>
      </c>
      <c r="AU31" s="315">
        <f t="shared" ca="1" si="48"/>
        <v>0</v>
      </c>
      <c r="AV31" s="315">
        <f t="shared" ca="1" si="49"/>
        <v>0</v>
      </c>
      <c r="AW31" s="316">
        <f t="shared" ca="1" si="50"/>
        <v>0</v>
      </c>
      <c r="AX31" s="314">
        <f t="shared" ca="1" si="51"/>
        <v>0</v>
      </c>
      <c r="AY31" s="315">
        <f t="shared" ca="1" si="52"/>
        <v>0</v>
      </c>
      <c r="AZ31" s="315">
        <f t="shared" ca="1" si="53"/>
        <v>0</v>
      </c>
      <c r="BA31" s="315">
        <f t="shared" ca="1" si="71"/>
        <v>0</v>
      </c>
      <c r="BB31" s="316">
        <f t="shared" ca="1" si="72"/>
        <v>0</v>
      </c>
      <c r="BC31" s="314">
        <f t="shared" ca="1" si="73"/>
        <v>1</v>
      </c>
      <c r="BD31" s="315">
        <f t="shared" ca="1" si="56"/>
        <v>0</v>
      </c>
      <c r="BE31" s="315">
        <f t="shared" ca="1" si="57"/>
        <v>0</v>
      </c>
      <c r="BF31" s="315">
        <f t="shared" ca="1" si="58"/>
        <v>0</v>
      </c>
      <c r="BG31" s="315">
        <f t="shared" ca="1" si="59"/>
        <v>0</v>
      </c>
      <c r="BH31" s="316">
        <f t="shared" ca="1" si="60"/>
        <v>0</v>
      </c>
    </row>
    <row r="32" spans="1:60" ht="13.5" thickBot="1" x14ac:dyDescent="0.25">
      <c r="A32" s="320">
        <v>2015</v>
      </c>
      <c r="B32" s="928">
        <f t="shared" si="26"/>
        <v>156000</v>
      </c>
      <c r="C32" s="929">
        <f t="shared" si="26"/>
        <v>1000000</v>
      </c>
      <c r="D32" s="929">
        <f t="shared" si="26"/>
        <v>1000000</v>
      </c>
      <c r="E32" s="929">
        <f t="shared" si="26"/>
        <v>1000000</v>
      </c>
      <c r="F32" s="929">
        <f t="shared" si="26"/>
        <v>1000000</v>
      </c>
      <c r="G32" s="930">
        <f t="shared" si="26"/>
        <v>1000000</v>
      </c>
      <c r="H32" s="886">
        <f t="shared" si="27"/>
        <v>1</v>
      </c>
      <c r="I32" s="887">
        <f t="shared" si="27"/>
        <v>1</v>
      </c>
      <c r="J32" s="887">
        <f t="shared" si="27"/>
        <v>1</v>
      </c>
      <c r="K32" s="887">
        <f t="shared" si="27"/>
        <v>1</v>
      </c>
      <c r="L32" s="887">
        <f t="shared" si="27"/>
        <v>1</v>
      </c>
      <c r="M32" s="888">
        <f t="shared" si="27"/>
        <v>1</v>
      </c>
      <c r="N32" s="883">
        <f t="shared" si="28"/>
        <v>7799.0260260817022</v>
      </c>
      <c r="O32" s="884">
        <f t="shared" si="29"/>
        <v>51193.14627650645</v>
      </c>
      <c r="P32" s="884">
        <f t="shared" si="30"/>
        <v>51193.14627650645</v>
      </c>
      <c r="Q32" s="884">
        <f t="shared" si="31"/>
        <v>51193.14627650645</v>
      </c>
      <c r="R32" s="884">
        <f t="shared" si="32"/>
        <v>51193.14627650645</v>
      </c>
      <c r="S32" s="885">
        <f t="shared" si="33"/>
        <v>278334.69894889405</v>
      </c>
      <c r="T32" s="837">
        <f t="shared" si="61"/>
        <v>-43394.120250424749</v>
      </c>
      <c r="U32" s="322">
        <f t="shared" si="62"/>
        <v>-43394.120250424749</v>
      </c>
      <c r="V32" s="322">
        <f t="shared" si="63"/>
        <v>-43394.120250424749</v>
      </c>
      <c r="W32" s="322">
        <f t="shared" si="64"/>
        <v>-43394.120250424749</v>
      </c>
      <c r="X32" s="323">
        <f t="shared" si="65"/>
        <v>-270535.67292281234</v>
      </c>
      <c r="Y32" s="325">
        <f ca="1">IF(AND(Y$22=TRUE,INDEX(CDRANGE_CLS1,MATCH($A32,$A$24:$A$67,0),MATCH(Y$20,$B$20:$G$20,0))&lt;$D$6/OPDAYS_Cls1),86,payback(C32,T32,disc_rate/12,85))</f>
        <v>86</v>
      </c>
      <c r="Z32" s="326">
        <f ca="1">IF(AND(Z$22=TRUE,INDEX(CDRANGE_CLS1,MATCH($A32,$A$24:$A$67,0),MATCH(Z$20,$B$20:$G$20,0))&lt;$D$6/OPDAYS_Cls1),86,payback(D32,U32,disc_rate/12,85))</f>
        <v>86</v>
      </c>
      <c r="AA32" s="326">
        <f ca="1">IF(AND(AA$22=TRUE,INDEX(CDRANGE_CLS1,MATCH($A32,$A$24:$A$67,0),MATCH(AA$20,$B$20:$G$20,0))&lt;$D$6/OPDAYS_Cls1),86,payback(E32,V32,disc_rate/12,85))</f>
        <v>86</v>
      </c>
      <c r="AB32" s="326">
        <f ca="1">IF(AND(AB$22=TRUE,INDEX(CDRANGE_CLS1,MATCH($A32,$A$24:$A$67,0),MATCH(AB$20,$B$20:$G$20,0))&lt;$D$6/OPDAYS_Cls1),86,payback(F32,W32,disc_rate/12,85))</f>
        <v>86</v>
      </c>
      <c r="AC32" s="693">
        <f ca="1">IF(AND(AC$22=TRUE,INDEX(CDRANGE_CLS1,MATCH($A32,$A$24:$A$67,0),MATCH(AC$20,$B$20:$G$20,0))&lt;$D$6/OPDAYS_Cls1),86,payback(G32,X32,disc_rate/12,85))</f>
        <v>86</v>
      </c>
      <c r="AD32" s="328">
        <f t="shared" si="35"/>
        <v>0</v>
      </c>
      <c r="AE32" s="329">
        <f t="shared" si="36"/>
        <v>0</v>
      </c>
      <c r="AF32" s="329">
        <f t="shared" si="37"/>
        <v>0</v>
      </c>
      <c r="AG32" s="329">
        <f t="shared" si="38"/>
        <v>0</v>
      </c>
      <c r="AH32" s="330">
        <f t="shared" si="39"/>
        <v>0</v>
      </c>
      <c r="AI32" s="1253">
        <f t="shared" si="40"/>
        <v>0</v>
      </c>
      <c r="AJ32" s="1254">
        <f t="shared" si="41"/>
        <v>0</v>
      </c>
      <c r="AK32" s="1254">
        <f t="shared" si="42"/>
        <v>0</v>
      </c>
      <c r="AL32" s="1254">
        <f t="shared" si="43"/>
        <v>0</v>
      </c>
      <c r="AM32" s="1260">
        <f t="shared" si="44"/>
        <v>0</v>
      </c>
      <c r="AN32" s="331">
        <f t="shared" si="66"/>
        <v>0</v>
      </c>
      <c r="AO32" s="332">
        <f t="shared" si="67"/>
        <v>0</v>
      </c>
      <c r="AP32" s="332">
        <f t="shared" si="68"/>
        <v>0</v>
      </c>
      <c r="AQ32" s="332">
        <f t="shared" si="69"/>
        <v>0</v>
      </c>
      <c r="AR32" s="699">
        <f t="shared" si="70"/>
        <v>0</v>
      </c>
      <c r="AS32" s="328">
        <f t="shared" ca="1" si="46"/>
        <v>0</v>
      </c>
      <c r="AT32" s="329">
        <f t="shared" ca="1" si="47"/>
        <v>0</v>
      </c>
      <c r="AU32" s="329">
        <f t="shared" ca="1" si="48"/>
        <v>0</v>
      </c>
      <c r="AV32" s="329">
        <f t="shared" ca="1" si="49"/>
        <v>0</v>
      </c>
      <c r="AW32" s="330">
        <f t="shared" ca="1" si="50"/>
        <v>0</v>
      </c>
      <c r="AX32" s="328">
        <f t="shared" ca="1" si="51"/>
        <v>0</v>
      </c>
      <c r="AY32" s="329">
        <f t="shared" ca="1" si="52"/>
        <v>0</v>
      </c>
      <c r="AZ32" s="329">
        <f t="shared" ca="1" si="53"/>
        <v>0</v>
      </c>
      <c r="BA32" s="329">
        <f t="shared" ca="1" si="71"/>
        <v>0</v>
      </c>
      <c r="BB32" s="330">
        <f t="shared" ca="1" si="72"/>
        <v>0</v>
      </c>
      <c r="BC32" s="328">
        <f t="shared" ca="1" si="73"/>
        <v>1</v>
      </c>
      <c r="BD32" s="329">
        <f t="shared" ca="1" si="56"/>
        <v>0</v>
      </c>
      <c r="BE32" s="329">
        <f t="shared" ca="1" si="57"/>
        <v>0</v>
      </c>
      <c r="BF32" s="329">
        <f t="shared" ca="1" si="58"/>
        <v>0</v>
      </c>
      <c r="BG32" s="329">
        <f t="shared" ca="1" si="59"/>
        <v>0</v>
      </c>
      <c r="BH32" s="330">
        <f t="shared" ca="1" si="60"/>
        <v>0</v>
      </c>
    </row>
    <row r="33" spans="1:62" x14ac:dyDescent="0.2">
      <c r="A33" s="334">
        <v>2016</v>
      </c>
      <c r="B33" s="931">
        <f t="shared" si="26"/>
        <v>156000</v>
      </c>
      <c r="C33" s="932">
        <f t="shared" si="26"/>
        <v>1000000</v>
      </c>
      <c r="D33" s="932">
        <f t="shared" si="26"/>
        <v>1000000</v>
      </c>
      <c r="E33" s="932">
        <f t="shared" si="26"/>
        <v>1000000</v>
      </c>
      <c r="F33" s="932">
        <f t="shared" si="26"/>
        <v>1000000</v>
      </c>
      <c r="G33" s="933">
        <f t="shared" si="26"/>
        <v>1000000</v>
      </c>
      <c r="H33" s="886">
        <f t="shared" si="27"/>
        <v>1</v>
      </c>
      <c r="I33" s="887">
        <f t="shared" si="27"/>
        <v>1</v>
      </c>
      <c r="J33" s="887">
        <f t="shared" si="27"/>
        <v>1</v>
      </c>
      <c r="K33" s="887">
        <f t="shared" si="27"/>
        <v>1</v>
      </c>
      <c r="L33" s="887">
        <f t="shared" si="27"/>
        <v>1</v>
      </c>
      <c r="M33" s="888">
        <f t="shared" si="27"/>
        <v>1</v>
      </c>
      <c r="N33" s="293">
        <f t="shared" si="28"/>
        <v>6600.2273621178319</v>
      </c>
      <c r="O33" s="294">
        <f t="shared" si="29"/>
        <v>44603.66832013442</v>
      </c>
      <c r="P33" s="294">
        <f t="shared" si="30"/>
        <v>44603.66832013442</v>
      </c>
      <c r="Q33" s="294">
        <f t="shared" si="31"/>
        <v>44603.66832013442</v>
      </c>
      <c r="R33" s="294">
        <f t="shared" si="32"/>
        <v>44603.66832013442</v>
      </c>
      <c r="S33" s="296">
        <f t="shared" si="33"/>
        <v>278334.69894889405</v>
      </c>
      <c r="T33" s="833">
        <f t="shared" si="61"/>
        <v>-38003.440958016588</v>
      </c>
      <c r="U33" s="294">
        <f t="shared" si="62"/>
        <v>-38003.440958016588</v>
      </c>
      <c r="V33" s="294">
        <f t="shared" si="63"/>
        <v>-38003.440958016588</v>
      </c>
      <c r="W33" s="294">
        <f t="shared" si="64"/>
        <v>-38003.440958016588</v>
      </c>
      <c r="X33" s="295">
        <f t="shared" si="65"/>
        <v>-271734.4715867762</v>
      </c>
      <c r="Y33" s="297">
        <f ca="1">IF(AND(Y$22=TRUE,INDEX(CDRANGE_CLS1,MATCH($A33,$A$24:$A$67,0),MATCH(Y$20,$B$20:$G$20,0))&lt;$D$6/OPDAYS_Cls1),86,payback(C33,T33,disc_rate/12,85))</f>
        <v>86</v>
      </c>
      <c r="Z33" s="298">
        <f ca="1">IF(AND(Z$22=TRUE,INDEX(CDRANGE_CLS1,MATCH($A33,$A$24:$A$67,0),MATCH(Z$20,$B$20:$G$20,0))&lt;$D$6/OPDAYS_Cls1),86,payback(D33,U33,disc_rate/12,85))</f>
        <v>86</v>
      </c>
      <c r="AA33" s="298">
        <f ca="1">IF(AND(AA$22=TRUE,INDEX(CDRANGE_CLS1,MATCH($A33,$A$24:$A$67,0),MATCH(AA$20,$B$20:$G$20,0))&lt;$D$6/OPDAYS_Cls1),86,payback(E33,V33,disc_rate/12,85))</f>
        <v>86</v>
      </c>
      <c r="AB33" s="298">
        <f ca="1">IF(AND(AB$22=TRUE,INDEX(CDRANGE_CLS1,MATCH($A33,$A$24:$A$67,0),MATCH(AB$20,$B$20:$G$20,0))&lt;$D$6/OPDAYS_Cls1),86,payback(F33,W33,disc_rate/12,85))</f>
        <v>86</v>
      </c>
      <c r="AC33" s="710">
        <f ca="1">IF(AND(AC$22=TRUE,INDEX(CDRANGE_CLS1,MATCH($A33,$A$24:$A$67,0),MATCH(AC$20,$B$20:$G$20,0))&lt;$D$6/OPDAYS_Cls1),86,payback(G33,X33,disc_rate/12,85))</f>
        <v>86</v>
      </c>
      <c r="AD33" s="300">
        <f t="shared" si="35"/>
        <v>0</v>
      </c>
      <c r="AE33" s="301">
        <f t="shared" si="36"/>
        <v>0</v>
      </c>
      <c r="AF33" s="301">
        <f t="shared" si="37"/>
        <v>0</v>
      </c>
      <c r="AG33" s="301">
        <f t="shared" si="38"/>
        <v>0</v>
      </c>
      <c r="AH33" s="302">
        <f t="shared" si="39"/>
        <v>0</v>
      </c>
      <c r="AI33" s="1247">
        <f t="shared" si="40"/>
        <v>0</v>
      </c>
      <c r="AJ33" s="1248">
        <f t="shared" si="41"/>
        <v>0</v>
      </c>
      <c r="AK33" s="1248">
        <f t="shared" si="42"/>
        <v>0</v>
      </c>
      <c r="AL33" s="1248">
        <f t="shared" si="43"/>
        <v>0</v>
      </c>
      <c r="AM33" s="1261">
        <f t="shared" si="44"/>
        <v>0</v>
      </c>
      <c r="AN33" s="303">
        <f t="shared" si="66"/>
        <v>0</v>
      </c>
      <c r="AO33" s="304">
        <f t="shared" si="67"/>
        <v>0</v>
      </c>
      <c r="AP33" s="304">
        <f t="shared" si="68"/>
        <v>0</v>
      </c>
      <c r="AQ33" s="304">
        <f t="shared" si="69"/>
        <v>0</v>
      </c>
      <c r="AR33" s="711">
        <f t="shared" si="70"/>
        <v>0</v>
      </c>
      <c r="AS33" s="300">
        <f t="shared" ca="1" si="46"/>
        <v>0</v>
      </c>
      <c r="AT33" s="301">
        <f t="shared" ca="1" si="47"/>
        <v>0</v>
      </c>
      <c r="AU33" s="301">
        <f t="shared" ca="1" si="48"/>
        <v>0</v>
      </c>
      <c r="AV33" s="301">
        <f t="shared" ca="1" si="49"/>
        <v>0</v>
      </c>
      <c r="AW33" s="302">
        <f t="shared" ca="1" si="50"/>
        <v>0</v>
      </c>
      <c r="AX33" s="300">
        <f t="shared" ca="1" si="51"/>
        <v>0</v>
      </c>
      <c r="AY33" s="301">
        <f t="shared" ca="1" si="52"/>
        <v>0</v>
      </c>
      <c r="AZ33" s="301">
        <f t="shared" ca="1" si="53"/>
        <v>0</v>
      </c>
      <c r="BA33" s="301">
        <f t="shared" ca="1" si="71"/>
        <v>0</v>
      </c>
      <c r="BB33" s="302">
        <f t="shared" ca="1" si="72"/>
        <v>0</v>
      </c>
      <c r="BC33" s="300">
        <f t="shared" ca="1" si="73"/>
        <v>1</v>
      </c>
      <c r="BD33" s="301">
        <f t="shared" ca="1" si="56"/>
        <v>0</v>
      </c>
      <c r="BE33" s="301">
        <f t="shared" ca="1" si="57"/>
        <v>0</v>
      </c>
      <c r="BF33" s="301">
        <f t="shared" ca="1" si="58"/>
        <v>0</v>
      </c>
      <c r="BG33" s="301">
        <f t="shared" ca="1" si="59"/>
        <v>0</v>
      </c>
      <c r="BH33" s="302">
        <f t="shared" ca="1" si="60"/>
        <v>0</v>
      </c>
    </row>
    <row r="34" spans="1:62" x14ac:dyDescent="0.2">
      <c r="A34" s="335">
        <v>2017</v>
      </c>
      <c r="B34" s="925">
        <f t="shared" ref="B34:G43" si="74">ROUND(INDEX(COST_Cls1,$A34-($A$24-1),MATCH(B$20,TECHOPTS_Cls1,0)),2)</f>
        <v>156000</v>
      </c>
      <c r="C34" s="926">
        <f t="shared" si="74"/>
        <v>1000000</v>
      </c>
      <c r="D34" s="926">
        <f t="shared" si="74"/>
        <v>1000000</v>
      </c>
      <c r="E34" s="926">
        <f t="shared" si="74"/>
        <v>1000000</v>
      </c>
      <c r="F34" s="926">
        <f t="shared" si="74"/>
        <v>1000000</v>
      </c>
      <c r="G34" s="927">
        <f t="shared" si="74"/>
        <v>1000000</v>
      </c>
      <c r="H34" s="886">
        <f t="shared" ref="H34:M43" si="75">IF(H$21="Single-fuel",1,1-MIN(INDEX(CDRANGE_CLS1,$A34-($A$24-1),MATCH(H$20,TECHOPTS_Cls1,0))*OPDAYS_Cls1/$D$6,1))</f>
        <v>1</v>
      </c>
      <c r="I34" s="887">
        <f t="shared" si="75"/>
        <v>1</v>
      </c>
      <c r="J34" s="887">
        <f t="shared" si="75"/>
        <v>1</v>
      </c>
      <c r="K34" s="887">
        <f t="shared" si="75"/>
        <v>1</v>
      </c>
      <c r="L34" s="887">
        <f t="shared" si="75"/>
        <v>1</v>
      </c>
      <c r="M34" s="888">
        <f t="shared" si="75"/>
        <v>1</v>
      </c>
      <c r="N34" s="293">
        <f t="shared" si="28"/>
        <v>7268.6615906472334</v>
      </c>
      <c r="O34" s="294">
        <f t="shared" si="29"/>
        <v>50719.452451380152</v>
      </c>
      <c r="P34" s="294">
        <f t="shared" si="30"/>
        <v>50719.452451380152</v>
      </c>
      <c r="Q34" s="294">
        <f t="shared" si="31"/>
        <v>50719.452451380152</v>
      </c>
      <c r="R34" s="294">
        <f t="shared" si="32"/>
        <v>50719.452451380152</v>
      </c>
      <c r="S34" s="296">
        <f t="shared" si="33"/>
        <v>278334.69894889405</v>
      </c>
      <c r="T34" s="834">
        <f t="shared" si="61"/>
        <v>-43450.790860732915</v>
      </c>
      <c r="U34" s="308">
        <f t="shared" si="62"/>
        <v>-43450.790860732915</v>
      </c>
      <c r="V34" s="308">
        <f t="shared" si="63"/>
        <v>-43450.790860732915</v>
      </c>
      <c r="W34" s="308">
        <f t="shared" si="64"/>
        <v>-43450.790860732915</v>
      </c>
      <c r="X34" s="309">
        <f t="shared" si="65"/>
        <v>-271066.0373582468</v>
      </c>
      <c r="Y34" s="311">
        <f ca="1">IF(AND(Y$22=TRUE,INDEX(CDRANGE_CLS1,MATCH($A34,$A$24:$A$67,0),MATCH(Y$20,$B$20:$G$20,0))&lt;$D$6/OPDAYS_Cls1),86,payback(C34,T34,disc_rate/12,85))</f>
        <v>86</v>
      </c>
      <c r="Z34" s="312">
        <f ca="1">IF(AND(Z$22=TRUE,INDEX(CDRANGE_CLS1,MATCH($A34,$A$24:$A$67,0),MATCH(Z$20,$B$20:$G$20,0))&lt;$D$6/OPDAYS_Cls1),86,payback(D34,U34,disc_rate/12,85))</f>
        <v>86</v>
      </c>
      <c r="AA34" s="312">
        <f ca="1">IF(AND(AA$22=TRUE,INDEX(CDRANGE_CLS1,MATCH($A34,$A$24:$A$67,0),MATCH(AA$20,$B$20:$G$20,0))&lt;$D$6/OPDAYS_Cls1),86,payback(E34,V34,disc_rate/12,85))</f>
        <v>86</v>
      </c>
      <c r="AB34" s="312">
        <f ca="1">IF(AND(AB$22=TRUE,INDEX(CDRANGE_CLS1,MATCH($A34,$A$24:$A$67,0),MATCH(AB$20,$B$20:$G$20,0))&lt;$D$6/OPDAYS_Cls1),86,payback(F34,W34,disc_rate/12,85))</f>
        <v>86</v>
      </c>
      <c r="AC34" s="692">
        <f ca="1">IF(AND(AC$22=TRUE,INDEX(CDRANGE_CLS1,MATCH($A34,$A$24:$A$67,0),MATCH(AC$20,$B$20:$G$20,0))&lt;$D$6/OPDAYS_Cls1),86,payback(G34,X34,disc_rate/12,85))</f>
        <v>86</v>
      </c>
      <c r="AD34" s="314">
        <f t="shared" si="35"/>
        <v>0</v>
      </c>
      <c r="AE34" s="315">
        <f t="shared" si="36"/>
        <v>0</v>
      </c>
      <c r="AF34" s="315">
        <f t="shared" si="37"/>
        <v>0</v>
      </c>
      <c r="AG34" s="315">
        <f t="shared" si="38"/>
        <v>0</v>
      </c>
      <c r="AH34" s="316">
        <f t="shared" si="39"/>
        <v>0</v>
      </c>
      <c r="AI34" s="1250">
        <f t="shared" si="40"/>
        <v>0</v>
      </c>
      <c r="AJ34" s="1251">
        <f t="shared" si="41"/>
        <v>0</v>
      </c>
      <c r="AK34" s="1251">
        <f t="shared" si="42"/>
        <v>0</v>
      </c>
      <c r="AL34" s="1251">
        <f t="shared" si="43"/>
        <v>0</v>
      </c>
      <c r="AM34" s="1259">
        <f t="shared" si="44"/>
        <v>0</v>
      </c>
      <c r="AN34" s="317">
        <f t="shared" si="66"/>
        <v>0</v>
      </c>
      <c r="AO34" s="318">
        <f t="shared" si="67"/>
        <v>0</v>
      </c>
      <c r="AP34" s="318">
        <f t="shared" si="68"/>
        <v>0</v>
      </c>
      <c r="AQ34" s="318">
        <f t="shared" si="69"/>
        <v>0</v>
      </c>
      <c r="AR34" s="698">
        <f t="shared" si="70"/>
        <v>0</v>
      </c>
      <c r="AS34" s="314">
        <f t="shared" ca="1" si="46"/>
        <v>0</v>
      </c>
      <c r="AT34" s="315">
        <f t="shared" ca="1" si="47"/>
        <v>0</v>
      </c>
      <c r="AU34" s="315">
        <f t="shared" ca="1" si="48"/>
        <v>0</v>
      </c>
      <c r="AV34" s="315">
        <f t="shared" ca="1" si="49"/>
        <v>0</v>
      </c>
      <c r="AW34" s="316">
        <f t="shared" ca="1" si="50"/>
        <v>0</v>
      </c>
      <c r="AX34" s="314">
        <f t="shared" ca="1" si="51"/>
        <v>0</v>
      </c>
      <c r="AY34" s="315">
        <f t="shared" ca="1" si="52"/>
        <v>0</v>
      </c>
      <c r="AZ34" s="315">
        <f t="shared" ca="1" si="53"/>
        <v>0</v>
      </c>
      <c r="BA34" s="315">
        <f t="shared" ca="1" si="71"/>
        <v>0</v>
      </c>
      <c r="BB34" s="316">
        <f t="shared" ca="1" si="72"/>
        <v>0</v>
      </c>
      <c r="BC34" s="314">
        <f t="shared" ca="1" si="73"/>
        <v>1</v>
      </c>
      <c r="BD34" s="315">
        <f t="shared" ca="1" si="56"/>
        <v>0</v>
      </c>
      <c r="BE34" s="315">
        <f t="shared" ca="1" si="57"/>
        <v>0</v>
      </c>
      <c r="BF34" s="315">
        <f t="shared" ca="1" si="58"/>
        <v>0</v>
      </c>
      <c r="BG34" s="315">
        <f t="shared" ca="1" si="59"/>
        <v>0</v>
      </c>
      <c r="BH34" s="316">
        <f t="shared" ca="1" si="60"/>
        <v>0</v>
      </c>
    </row>
    <row r="35" spans="1:62" x14ac:dyDescent="0.2">
      <c r="A35" s="335">
        <v>2018</v>
      </c>
      <c r="B35" s="925">
        <f t="shared" si="74"/>
        <v>156000</v>
      </c>
      <c r="C35" s="926">
        <f t="shared" si="74"/>
        <v>1000000</v>
      </c>
      <c r="D35" s="926">
        <f t="shared" si="74"/>
        <v>1000000</v>
      </c>
      <c r="E35" s="926">
        <f t="shared" si="74"/>
        <v>1000000</v>
      </c>
      <c r="F35" s="926">
        <f t="shared" si="74"/>
        <v>1000000</v>
      </c>
      <c r="G35" s="927">
        <f t="shared" si="74"/>
        <v>1000000</v>
      </c>
      <c r="H35" s="886">
        <f t="shared" si="75"/>
        <v>1</v>
      </c>
      <c r="I35" s="887">
        <f t="shared" si="75"/>
        <v>1</v>
      </c>
      <c r="J35" s="887">
        <f t="shared" si="75"/>
        <v>1</v>
      </c>
      <c r="K35" s="887">
        <f t="shared" si="75"/>
        <v>1</v>
      </c>
      <c r="L35" s="887">
        <f t="shared" si="75"/>
        <v>1</v>
      </c>
      <c r="M35" s="888">
        <f t="shared" si="75"/>
        <v>1</v>
      </c>
      <c r="N35" s="293">
        <f t="shared" si="28"/>
        <v>8351.5562930024316</v>
      </c>
      <c r="O35" s="294">
        <f t="shared" si="29"/>
        <v>59973.359447412193</v>
      </c>
      <c r="P35" s="294">
        <f t="shared" si="30"/>
        <v>59973.359447412193</v>
      </c>
      <c r="Q35" s="294">
        <f t="shared" si="31"/>
        <v>59973.359447412193</v>
      </c>
      <c r="R35" s="294">
        <f t="shared" si="32"/>
        <v>59973.359447412193</v>
      </c>
      <c r="S35" s="296">
        <f t="shared" si="33"/>
        <v>278334.69894889405</v>
      </c>
      <c r="T35" s="834">
        <f t="shared" si="61"/>
        <v>-51621.803154409761</v>
      </c>
      <c r="U35" s="308">
        <f t="shared" si="62"/>
        <v>-51621.803154409761</v>
      </c>
      <c r="V35" s="308">
        <f t="shared" si="63"/>
        <v>-51621.803154409761</v>
      </c>
      <c r="W35" s="308">
        <f t="shared" si="64"/>
        <v>-51621.803154409761</v>
      </c>
      <c r="X35" s="309">
        <f t="shared" si="65"/>
        <v>-269983.1426558916</v>
      </c>
      <c r="Y35" s="311">
        <f ca="1">IF(AND(Y$22=TRUE,INDEX(CDRANGE_CLS1,MATCH($A35,$A$24:$A$67,0),MATCH(Y$20,$B$20:$G$20,0))&lt;$D$6/OPDAYS_Cls1),86,payback(C35,T35,disc_rate/12,85))</f>
        <v>86</v>
      </c>
      <c r="Z35" s="312">
        <f ca="1">IF(AND(Z$22=TRUE,INDEX(CDRANGE_CLS1,MATCH($A35,$A$24:$A$67,0),MATCH(Z$20,$B$20:$G$20,0))&lt;$D$6/OPDAYS_Cls1),86,payback(D35,U35,disc_rate/12,85))</f>
        <v>86</v>
      </c>
      <c r="AA35" s="312">
        <f ca="1">IF(AND(AA$22=TRUE,INDEX(CDRANGE_CLS1,MATCH($A35,$A$24:$A$67,0),MATCH(AA$20,$B$20:$G$20,0))&lt;$D$6/OPDAYS_Cls1),86,payback(E35,V35,disc_rate/12,85))</f>
        <v>86</v>
      </c>
      <c r="AB35" s="312">
        <f ca="1">IF(AND(AB$22=TRUE,INDEX(CDRANGE_CLS1,MATCH($A35,$A$24:$A$67,0),MATCH(AB$20,$B$20:$G$20,0))&lt;$D$6/OPDAYS_Cls1),86,payback(F35,W35,disc_rate/12,85))</f>
        <v>86</v>
      </c>
      <c r="AC35" s="692">
        <f ca="1">IF(AND(AC$22=TRUE,INDEX(CDRANGE_CLS1,MATCH($A35,$A$24:$A$67,0),MATCH(AC$20,$B$20:$G$20,0))&lt;$D$6/OPDAYS_Cls1),86,payback(G35,X35,disc_rate/12,85))</f>
        <v>86</v>
      </c>
      <c r="AD35" s="314">
        <f t="shared" si="35"/>
        <v>0</v>
      </c>
      <c r="AE35" s="315">
        <f t="shared" si="36"/>
        <v>0</v>
      </c>
      <c r="AF35" s="315">
        <f t="shared" si="37"/>
        <v>0</v>
      </c>
      <c r="AG35" s="315">
        <f t="shared" si="38"/>
        <v>0</v>
      </c>
      <c r="AH35" s="316">
        <f t="shared" si="39"/>
        <v>0</v>
      </c>
      <c r="AI35" s="1250">
        <f t="shared" si="40"/>
        <v>0</v>
      </c>
      <c r="AJ35" s="1251">
        <f t="shared" si="41"/>
        <v>0</v>
      </c>
      <c r="AK35" s="1251">
        <f t="shared" si="42"/>
        <v>0</v>
      </c>
      <c r="AL35" s="1251">
        <f t="shared" si="43"/>
        <v>0</v>
      </c>
      <c r="AM35" s="1259">
        <f t="shared" si="44"/>
        <v>0</v>
      </c>
      <c r="AN35" s="317">
        <f t="shared" si="66"/>
        <v>0</v>
      </c>
      <c r="AO35" s="318">
        <f t="shared" si="67"/>
        <v>0</v>
      </c>
      <c r="AP35" s="318">
        <f t="shared" si="68"/>
        <v>0</v>
      </c>
      <c r="AQ35" s="318">
        <f t="shared" si="69"/>
        <v>0</v>
      </c>
      <c r="AR35" s="698">
        <f t="shared" si="70"/>
        <v>0</v>
      </c>
      <c r="AS35" s="314">
        <f t="shared" ca="1" si="46"/>
        <v>0</v>
      </c>
      <c r="AT35" s="315">
        <f t="shared" ca="1" si="47"/>
        <v>0</v>
      </c>
      <c r="AU35" s="315">
        <f t="shared" ca="1" si="48"/>
        <v>0</v>
      </c>
      <c r="AV35" s="315">
        <f t="shared" ca="1" si="49"/>
        <v>0</v>
      </c>
      <c r="AW35" s="316">
        <f t="shared" ca="1" si="50"/>
        <v>0</v>
      </c>
      <c r="AX35" s="314">
        <f t="shared" ca="1" si="51"/>
        <v>0</v>
      </c>
      <c r="AY35" s="315">
        <f t="shared" ca="1" si="52"/>
        <v>0</v>
      </c>
      <c r="AZ35" s="315">
        <f t="shared" ca="1" si="53"/>
        <v>0</v>
      </c>
      <c r="BA35" s="315">
        <f t="shared" ca="1" si="71"/>
        <v>0</v>
      </c>
      <c r="BB35" s="316">
        <f t="shared" ca="1" si="72"/>
        <v>0</v>
      </c>
      <c r="BC35" s="314">
        <f t="shared" ca="1" si="73"/>
        <v>1</v>
      </c>
      <c r="BD35" s="315">
        <f t="shared" ca="1" si="56"/>
        <v>0</v>
      </c>
      <c r="BE35" s="315">
        <f t="shared" ca="1" si="57"/>
        <v>0</v>
      </c>
      <c r="BF35" s="315">
        <f t="shared" ca="1" si="58"/>
        <v>0</v>
      </c>
      <c r="BG35" s="315">
        <f t="shared" ca="1" si="59"/>
        <v>0</v>
      </c>
      <c r="BH35" s="316">
        <f t="shared" ca="1" si="60"/>
        <v>0</v>
      </c>
    </row>
    <row r="36" spans="1:62" x14ac:dyDescent="0.2">
      <c r="A36" s="335">
        <v>2019</v>
      </c>
      <c r="B36" s="925">
        <f t="shared" si="74"/>
        <v>156000</v>
      </c>
      <c r="C36" s="926">
        <f t="shared" si="74"/>
        <v>1000000</v>
      </c>
      <c r="D36" s="926">
        <f t="shared" si="74"/>
        <v>1000000</v>
      </c>
      <c r="E36" s="926">
        <f t="shared" si="74"/>
        <v>1000000</v>
      </c>
      <c r="F36" s="926">
        <f t="shared" si="74"/>
        <v>1000000</v>
      </c>
      <c r="G36" s="927">
        <f t="shared" si="74"/>
        <v>1000000</v>
      </c>
      <c r="H36" s="886">
        <f t="shared" si="75"/>
        <v>1</v>
      </c>
      <c r="I36" s="887">
        <f t="shared" si="75"/>
        <v>1</v>
      </c>
      <c r="J36" s="887">
        <f t="shared" si="75"/>
        <v>1</v>
      </c>
      <c r="K36" s="887">
        <f t="shared" si="75"/>
        <v>1</v>
      </c>
      <c r="L36" s="887">
        <f t="shared" si="75"/>
        <v>1</v>
      </c>
      <c r="M36" s="888">
        <f t="shared" si="75"/>
        <v>1</v>
      </c>
      <c r="N36" s="293">
        <f t="shared" si="28"/>
        <v>8141.0729340867201</v>
      </c>
      <c r="O36" s="294">
        <f t="shared" si="29"/>
        <v>58834.686759715703</v>
      </c>
      <c r="P36" s="294">
        <f t="shared" si="30"/>
        <v>58834.686759715703</v>
      </c>
      <c r="Q36" s="294">
        <f t="shared" si="31"/>
        <v>58834.686759715703</v>
      </c>
      <c r="R36" s="294">
        <f t="shared" si="32"/>
        <v>58834.686759715703</v>
      </c>
      <c r="S36" s="296">
        <f t="shared" si="33"/>
        <v>278334.69894889405</v>
      </c>
      <c r="T36" s="834">
        <f t="shared" si="61"/>
        <v>-50693.613825628985</v>
      </c>
      <c r="U36" s="308">
        <f t="shared" si="62"/>
        <v>-50693.613825628985</v>
      </c>
      <c r="V36" s="308">
        <f t="shared" si="63"/>
        <v>-50693.613825628985</v>
      </c>
      <c r="W36" s="308">
        <f t="shared" si="64"/>
        <v>-50693.613825628985</v>
      </c>
      <c r="X36" s="309">
        <f t="shared" si="65"/>
        <v>-270193.62601480732</v>
      </c>
      <c r="Y36" s="311">
        <f ca="1">IF(AND(Y$22=TRUE,INDEX(CDRANGE_CLS1,MATCH($A36,$A$24:$A$67,0),MATCH(Y$20,$B$20:$G$20,0))&lt;$D$6/OPDAYS_Cls1),86,payback(C36,T36,disc_rate/12,85))</f>
        <v>86</v>
      </c>
      <c r="Z36" s="312">
        <f ca="1">IF(AND(Z$22=TRUE,INDEX(CDRANGE_CLS1,MATCH($A36,$A$24:$A$67,0),MATCH(Z$20,$B$20:$G$20,0))&lt;$D$6/OPDAYS_Cls1),86,payback(D36,U36,disc_rate/12,85))</f>
        <v>86</v>
      </c>
      <c r="AA36" s="312">
        <f ca="1">IF(AND(AA$22=TRUE,INDEX(CDRANGE_CLS1,MATCH($A36,$A$24:$A$67,0),MATCH(AA$20,$B$20:$G$20,0))&lt;$D$6/OPDAYS_Cls1),86,payback(E36,V36,disc_rate/12,85))</f>
        <v>86</v>
      </c>
      <c r="AB36" s="312">
        <f ca="1">IF(AND(AB$22=TRUE,INDEX(CDRANGE_CLS1,MATCH($A36,$A$24:$A$67,0),MATCH(AB$20,$B$20:$G$20,0))&lt;$D$6/OPDAYS_Cls1),86,payback(F36,W36,disc_rate/12,85))</f>
        <v>86</v>
      </c>
      <c r="AC36" s="692">
        <f ca="1">IF(AND(AC$22=TRUE,INDEX(CDRANGE_CLS1,MATCH($A36,$A$24:$A$67,0),MATCH(AC$20,$B$20:$G$20,0))&lt;$D$6/OPDAYS_Cls1),86,payback(G36,X36,disc_rate/12,85))</f>
        <v>86</v>
      </c>
      <c r="AD36" s="314">
        <f t="shared" si="35"/>
        <v>0</v>
      </c>
      <c r="AE36" s="315">
        <f t="shared" si="36"/>
        <v>0</v>
      </c>
      <c r="AF36" s="315">
        <f t="shared" si="37"/>
        <v>0</v>
      </c>
      <c r="AG36" s="315">
        <f t="shared" si="38"/>
        <v>0</v>
      </c>
      <c r="AH36" s="316">
        <f t="shared" si="39"/>
        <v>0</v>
      </c>
      <c r="AI36" s="1250">
        <f t="shared" si="40"/>
        <v>0</v>
      </c>
      <c r="AJ36" s="1251">
        <f t="shared" si="41"/>
        <v>0</v>
      </c>
      <c r="AK36" s="1251">
        <f t="shared" si="42"/>
        <v>0</v>
      </c>
      <c r="AL36" s="1251">
        <f t="shared" si="43"/>
        <v>0</v>
      </c>
      <c r="AM36" s="1259">
        <f t="shared" si="44"/>
        <v>0</v>
      </c>
      <c r="AN36" s="317">
        <f t="shared" si="66"/>
        <v>0</v>
      </c>
      <c r="AO36" s="318">
        <f t="shared" si="67"/>
        <v>0</v>
      </c>
      <c r="AP36" s="318">
        <f t="shared" si="68"/>
        <v>0</v>
      </c>
      <c r="AQ36" s="318">
        <f t="shared" si="69"/>
        <v>0</v>
      </c>
      <c r="AR36" s="698">
        <f t="shared" si="70"/>
        <v>0</v>
      </c>
      <c r="AS36" s="314">
        <f t="shared" ca="1" si="46"/>
        <v>0</v>
      </c>
      <c r="AT36" s="315">
        <f t="shared" ca="1" si="47"/>
        <v>0</v>
      </c>
      <c r="AU36" s="315">
        <f t="shared" ca="1" si="48"/>
        <v>0</v>
      </c>
      <c r="AV36" s="315">
        <f t="shared" ca="1" si="49"/>
        <v>0</v>
      </c>
      <c r="AW36" s="316">
        <f t="shared" ca="1" si="50"/>
        <v>0</v>
      </c>
      <c r="AX36" s="314">
        <f t="shared" ca="1" si="51"/>
        <v>0</v>
      </c>
      <c r="AY36" s="315">
        <f t="shared" ca="1" si="52"/>
        <v>0</v>
      </c>
      <c r="AZ36" s="315">
        <f t="shared" ca="1" si="53"/>
        <v>0</v>
      </c>
      <c r="BA36" s="315">
        <f t="shared" ca="1" si="71"/>
        <v>0</v>
      </c>
      <c r="BB36" s="316">
        <f t="shared" ca="1" si="72"/>
        <v>0</v>
      </c>
      <c r="BC36" s="314">
        <f t="shared" ca="1" si="73"/>
        <v>1</v>
      </c>
      <c r="BD36" s="315">
        <f t="shared" ca="1" si="56"/>
        <v>0</v>
      </c>
      <c r="BE36" s="315">
        <f t="shared" ca="1" si="57"/>
        <v>0</v>
      </c>
      <c r="BF36" s="315">
        <f t="shared" ca="1" si="58"/>
        <v>0</v>
      </c>
      <c r="BG36" s="315">
        <f t="shared" ca="1" si="59"/>
        <v>0</v>
      </c>
      <c r="BH36" s="316">
        <f t="shared" ca="1" si="60"/>
        <v>0</v>
      </c>
    </row>
    <row r="37" spans="1:62" ht="13.5" thickBot="1" x14ac:dyDescent="0.25">
      <c r="A37" s="718">
        <v>2020</v>
      </c>
      <c r="B37" s="919">
        <f t="shared" si="74"/>
        <v>156000</v>
      </c>
      <c r="C37" s="920">
        <f t="shared" si="74"/>
        <v>1000000</v>
      </c>
      <c r="D37" s="920">
        <f t="shared" si="74"/>
        <v>1000000</v>
      </c>
      <c r="E37" s="920">
        <f t="shared" si="74"/>
        <v>1000000</v>
      </c>
      <c r="F37" s="920">
        <f t="shared" si="74"/>
        <v>1000000</v>
      </c>
      <c r="G37" s="921">
        <f t="shared" si="74"/>
        <v>1000000</v>
      </c>
      <c r="H37" s="886">
        <f t="shared" si="75"/>
        <v>1</v>
      </c>
      <c r="I37" s="887">
        <f t="shared" si="75"/>
        <v>1</v>
      </c>
      <c r="J37" s="887">
        <f t="shared" si="75"/>
        <v>1</v>
      </c>
      <c r="K37" s="887">
        <f t="shared" si="75"/>
        <v>1</v>
      </c>
      <c r="L37" s="887">
        <f t="shared" si="75"/>
        <v>1</v>
      </c>
      <c r="M37" s="888">
        <f t="shared" si="75"/>
        <v>1</v>
      </c>
      <c r="N37" s="880">
        <f t="shared" si="28"/>
        <v>8597.3763145649536</v>
      </c>
      <c r="O37" s="881">
        <f t="shared" si="29"/>
        <v>62668.580851563565</v>
      </c>
      <c r="P37" s="881">
        <f t="shared" si="30"/>
        <v>62668.580851563565</v>
      </c>
      <c r="Q37" s="881">
        <f t="shared" si="31"/>
        <v>62668.580851563565</v>
      </c>
      <c r="R37" s="881">
        <f t="shared" si="32"/>
        <v>62668.580851563565</v>
      </c>
      <c r="S37" s="882">
        <f t="shared" si="33"/>
        <v>278334.69894889405</v>
      </c>
      <c r="T37" s="835">
        <f t="shared" si="61"/>
        <v>-54071.204536998615</v>
      </c>
      <c r="U37" s="719">
        <f t="shared" si="62"/>
        <v>-54071.204536998615</v>
      </c>
      <c r="V37" s="719">
        <f t="shared" si="63"/>
        <v>-54071.204536998615</v>
      </c>
      <c r="W37" s="719">
        <f t="shared" si="64"/>
        <v>-54071.204536998615</v>
      </c>
      <c r="X37" s="720">
        <f t="shared" si="65"/>
        <v>-269737.32263432909</v>
      </c>
      <c r="Y37" s="721">
        <f ca="1">IF(AND(Y$22=TRUE,INDEX(CDRANGE_CLS1,MATCH($A37,$A$24:$A$67,0),MATCH(Y$20,$B$20:$G$20,0))&lt;$D$6/OPDAYS_Cls1),86,payback(C37,T37,disc_rate/12,85))</f>
        <v>86</v>
      </c>
      <c r="Z37" s="722">
        <f ca="1">IF(AND(Z$22=TRUE,INDEX(CDRANGE_CLS1,MATCH($A37,$A$24:$A$67,0),MATCH(Z$20,$B$20:$G$20,0))&lt;$D$6/OPDAYS_Cls1),86,payback(D37,U37,disc_rate/12,85))</f>
        <v>86</v>
      </c>
      <c r="AA37" s="722">
        <f ca="1">IF(AND(AA$22=TRUE,INDEX(CDRANGE_CLS1,MATCH($A37,$A$24:$A$67,0),MATCH(AA$20,$B$20:$G$20,0))&lt;$D$6/OPDAYS_Cls1),86,payback(E37,V37,disc_rate/12,85))</f>
        <v>86</v>
      </c>
      <c r="AB37" s="722">
        <f ca="1">IF(AND(AB$22=TRUE,INDEX(CDRANGE_CLS1,MATCH($A37,$A$24:$A$67,0),MATCH(AB$20,$B$20:$G$20,0))&lt;$D$6/OPDAYS_Cls1),86,payback(F37,W37,disc_rate/12,85))</f>
        <v>86</v>
      </c>
      <c r="AC37" s="723">
        <f ca="1">IF(AND(AC$22=TRUE,INDEX(CDRANGE_CLS1,MATCH($A37,$A$24:$A$67,0),MATCH(AC$20,$B$20:$G$20,0))&lt;$D$6/OPDAYS_Cls1),86,payback(G37,X37,disc_rate/12,85))</f>
        <v>86</v>
      </c>
      <c r="AD37" s="724">
        <f t="shared" si="35"/>
        <v>0</v>
      </c>
      <c r="AE37" s="725">
        <f t="shared" si="36"/>
        <v>0</v>
      </c>
      <c r="AF37" s="725">
        <f t="shared" si="37"/>
        <v>0</v>
      </c>
      <c r="AG37" s="725">
        <f t="shared" si="38"/>
        <v>0</v>
      </c>
      <c r="AH37" s="726">
        <f t="shared" si="39"/>
        <v>0</v>
      </c>
      <c r="AI37" s="1262">
        <f t="shared" si="40"/>
        <v>0</v>
      </c>
      <c r="AJ37" s="1263">
        <f t="shared" si="41"/>
        <v>0</v>
      </c>
      <c r="AK37" s="1263">
        <f t="shared" si="42"/>
        <v>0</v>
      </c>
      <c r="AL37" s="1263">
        <f t="shared" si="43"/>
        <v>0</v>
      </c>
      <c r="AM37" s="1264">
        <f t="shared" si="44"/>
        <v>0</v>
      </c>
      <c r="AN37" s="730">
        <f t="shared" si="66"/>
        <v>0</v>
      </c>
      <c r="AO37" s="728">
        <f t="shared" si="67"/>
        <v>0</v>
      </c>
      <c r="AP37" s="728">
        <f t="shared" si="68"/>
        <v>0</v>
      </c>
      <c r="AQ37" s="728">
        <f t="shared" si="69"/>
        <v>0</v>
      </c>
      <c r="AR37" s="729">
        <f t="shared" si="70"/>
        <v>0</v>
      </c>
      <c r="AS37" s="724">
        <f t="shared" ca="1" si="46"/>
        <v>0</v>
      </c>
      <c r="AT37" s="725">
        <f t="shared" ca="1" si="47"/>
        <v>0</v>
      </c>
      <c r="AU37" s="725">
        <f t="shared" ca="1" si="48"/>
        <v>0</v>
      </c>
      <c r="AV37" s="725">
        <f t="shared" ca="1" si="49"/>
        <v>0</v>
      </c>
      <c r="AW37" s="726">
        <f t="shared" ca="1" si="50"/>
        <v>0</v>
      </c>
      <c r="AX37" s="724">
        <f t="shared" ca="1" si="51"/>
        <v>0</v>
      </c>
      <c r="AY37" s="725">
        <f t="shared" ca="1" si="52"/>
        <v>0</v>
      </c>
      <c r="AZ37" s="725">
        <f t="shared" ca="1" si="53"/>
        <v>0</v>
      </c>
      <c r="BA37" s="725">
        <f t="shared" ca="1" si="71"/>
        <v>0</v>
      </c>
      <c r="BB37" s="726">
        <f t="shared" ca="1" si="72"/>
        <v>0</v>
      </c>
      <c r="BC37" s="724">
        <f t="shared" ca="1" si="73"/>
        <v>1</v>
      </c>
      <c r="BD37" s="725">
        <f t="shared" ca="1" si="56"/>
        <v>0</v>
      </c>
      <c r="BE37" s="725">
        <f t="shared" ca="1" si="57"/>
        <v>0</v>
      </c>
      <c r="BF37" s="725">
        <f t="shared" ca="1" si="58"/>
        <v>0</v>
      </c>
      <c r="BG37" s="725">
        <f t="shared" ca="1" si="59"/>
        <v>0</v>
      </c>
      <c r="BH37" s="726">
        <f t="shared" ca="1" si="60"/>
        <v>0</v>
      </c>
    </row>
    <row r="38" spans="1:62" x14ac:dyDescent="0.2">
      <c r="A38" s="336">
        <v>2021</v>
      </c>
      <c r="B38" s="922">
        <f t="shared" si="74"/>
        <v>156551.26999999999</v>
      </c>
      <c r="C38" s="923">
        <f t="shared" si="74"/>
        <v>730.36</v>
      </c>
      <c r="D38" s="923">
        <f t="shared" si="74"/>
        <v>2705.75</v>
      </c>
      <c r="E38" s="923">
        <f t="shared" si="74"/>
        <v>12559.92</v>
      </c>
      <c r="F38" s="923">
        <f t="shared" si="74"/>
        <v>368339.21</v>
      </c>
      <c r="G38" s="924">
        <f t="shared" si="74"/>
        <v>190187.88</v>
      </c>
      <c r="H38" s="886">
        <f t="shared" si="75"/>
        <v>1</v>
      </c>
      <c r="I38" s="887">
        <f t="shared" si="75"/>
        <v>1</v>
      </c>
      <c r="J38" s="887">
        <f t="shared" si="75"/>
        <v>1</v>
      </c>
      <c r="K38" s="887">
        <f t="shared" si="75"/>
        <v>1</v>
      </c>
      <c r="L38" s="887">
        <f t="shared" si="75"/>
        <v>0.71303499514216828</v>
      </c>
      <c r="M38" s="888">
        <f t="shared" si="75"/>
        <v>1</v>
      </c>
      <c r="N38" s="731">
        <f t="shared" si="28"/>
        <v>8618.5684120026253</v>
      </c>
      <c r="O38" s="732">
        <f t="shared" si="29"/>
        <v>8461.4381194128146</v>
      </c>
      <c r="P38" s="732">
        <f t="shared" si="30"/>
        <v>8421.0691104361067</v>
      </c>
      <c r="Q38" s="732">
        <f t="shared" si="31"/>
        <v>8568.8928523721643</v>
      </c>
      <c r="R38" s="732">
        <f t="shared" si="32"/>
        <v>10946.199342185499</v>
      </c>
      <c r="S38" s="846">
        <f t="shared" si="33"/>
        <v>37314.745724082633</v>
      </c>
      <c r="T38" s="836">
        <f t="shared" si="61"/>
        <v>157.13029258981078</v>
      </c>
      <c r="U38" s="732">
        <f t="shared" si="62"/>
        <v>197.49930156651862</v>
      </c>
      <c r="V38" s="732">
        <f t="shared" si="63"/>
        <v>49.675559630461066</v>
      </c>
      <c r="W38" s="732">
        <f t="shared" si="64"/>
        <v>-2327.6309301828733</v>
      </c>
      <c r="X38" s="733">
        <f t="shared" si="65"/>
        <v>-28696.177312080006</v>
      </c>
      <c r="Y38" s="734">
        <f ca="1">IF(AND(Y$22=TRUE,INDEX(CDRANGE_CLS1,MATCH($A38,$A$24:$A$67,0),MATCH(Y$20,$B$20:$G$20,0))&lt;$D$6/OPDAYS_Cls1),86,payback(C38,T38,disc_rate/12,85))</f>
        <v>5</v>
      </c>
      <c r="Z38" s="735">
        <f ca="1">IF(AND(Z$22=TRUE,INDEX(CDRANGE_CLS1,MATCH($A38,$A$24:$A$67,0),MATCH(Z$20,$B$20:$G$20,0))&lt;$D$6/OPDAYS_Cls1),86,payback(D38,U38,disc_rate/12,85))</f>
        <v>15</v>
      </c>
      <c r="AA38" s="735">
        <f ca="1">IF(AND(AA$22=TRUE,INDEX(CDRANGE_CLS1,MATCH($A38,$A$24:$A$67,0),MATCH(AA$20,$B$20:$G$20,0))&lt;$D$6/OPDAYS_Cls1),86,payback(E38,V38,disc_rate/12,85))</f>
        <v>86</v>
      </c>
      <c r="AB38" s="735">
        <f ca="1">IF(AND(AB$22=TRUE,INDEX(CDRANGE_CLS1,MATCH($A38,$A$24:$A$67,0),MATCH(AB$20,$B$20:$G$20,0))&lt;$D$6/OPDAYS_Cls1),86,payback(F38,W38,disc_rate/12,85))</f>
        <v>86</v>
      </c>
      <c r="AC38" s="736">
        <f ca="1">IF(AND(AC$22=TRUE,INDEX(CDRANGE_CLS1,MATCH($A38,$A$24:$A$67,0),MATCH(AC$20,$B$20:$G$20,0))&lt;$D$6/OPDAYS_Cls1),86,payback(G38,X38,disc_rate/12,85))</f>
        <v>86</v>
      </c>
      <c r="AD38" s="737">
        <f t="shared" si="35"/>
        <v>2.3712925281576792E-2</v>
      </c>
      <c r="AE38" s="738">
        <f t="shared" si="36"/>
        <v>2.2501954482207008E-2</v>
      </c>
      <c r="AF38" s="738">
        <f t="shared" si="37"/>
        <v>0</v>
      </c>
      <c r="AG38" s="738">
        <f t="shared" si="38"/>
        <v>0</v>
      </c>
      <c r="AH38" s="739">
        <f t="shared" si="39"/>
        <v>0</v>
      </c>
      <c r="AI38" s="1256">
        <f t="shared" si="40"/>
        <v>2.3712936588783391E-2</v>
      </c>
      <c r="AJ38" s="1257">
        <f t="shared" si="41"/>
        <v>2.3712936588783391E-2</v>
      </c>
      <c r="AK38" s="1257">
        <f t="shared" si="42"/>
        <v>2.3712936588783391E-2</v>
      </c>
      <c r="AL38" s="1257">
        <f t="shared" si="43"/>
        <v>2.3712936588783391E-2</v>
      </c>
      <c r="AM38" s="1258">
        <f t="shared" si="44"/>
        <v>0</v>
      </c>
      <c r="AN38" s="743">
        <f t="shared" si="66"/>
        <v>0.99993954320216516</v>
      </c>
      <c r="AO38" s="741">
        <f t="shared" si="67"/>
        <v>0.99917057050965885</v>
      </c>
      <c r="AP38" s="741">
        <f t="shared" si="68"/>
        <v>0.98227928128181274</v>
      </c>
      <c r="AQ38" s="741">
        <f t="shared" si="69"/>
        <v>2.0975944237111577E-7</v>
      </c>
      <c r="AR38" s="742">
        <f t="shared" si="70"/>
        <v>1.6577975653750521E-2</v>
      </c>
      <c r="AS38" s="737">
        <f t="shared" ca="1" si="46"/>
        <v>4.7425873177566781E-2</v>
      </c>
      <c r="AT38" s="738">
        <f t="shared" ca="1" si="47"/>
        <v>3.9967453333735276E-2</v>
      </c>
      <c r="AU38" s="738">
        <f t="shared" ca="1" si="48"/>
        <v>0</v>
      </c>
      <c r="AV38" s="738">
        <f t="shared" ca="1" si="49"/>
        <v>0</v>
      </c>
      <c r="AW38" s="739">
        <f t="shared" ca="1" si="50"/>
        <v>0</v>
      </c>
      <c r="AX38" s="737">
        <f t="shared" ca="1" si="51"/>
        <v>4.7423005961139943E-2</v>
      </c>
      <c r="AY38" s="738">
        <f t="shared" ca="1" si="52"/>
        <v>3.9934303149286442E-2</v>
      </c>
      <c r="AZ38" s="738">
        <f t="shared" ca="1" si="53"/>
        <v>0</v>
      </c>
      <c r="BA38" s="738">
        <f t="shared" ca="1" si="71"/>
        <v>0</v>
      </c>
      <c r="BB38" s="739">
        <f t="shared" ca="1" si="72"/>
        <v>0</v>
      </c>
      <c r="BC38" s="737">
        <f t="shared" ca="1" si="73"/>
        <v>0.95257699403886009</v>
      </c>
      <c r="BD38" s="738">
        <f t="shared" ca="1" si="56"/>
        <v>2.5744170891842361E-2</v>
      </c>
      <c r="BE38" s="738">
        <f t="shared" ca="1" si="57"/>
        <v>2.1678835069297579E-2</v>
      </c>
      <c r="BF38" s="738">
        <f t="shared" ca="1" si="58"/>
        <v>0</v>
      </c>
      <c r="BG38" s="738">
        <f t="shared" ca="1" si="59"/>
        <v>0</v>
      </c>
      <c r="BH38" s="739">
        <f t="shared" ca="1" si="60"/>
        <v>0</v>
      </c>
    </row>
    <row r="39" spans="1:62" x14ac:dyDescent="0.2">
      <c r="A39" s="335">
        <v>2022</v>
      </c>
      <c r="B39" s="925">
        <f t="shared" si="74"/>
        <v>157102.54999999999</v>
      </c>
      <c r="C39" s="926">
        <f t="shared" si="74"/>
        <v>1460.73</v>
      </c>
      <c r="D39" s="926">
        <f t="shared" si="74"/>
        <v>3132.2</v>
      </c>
      <c r="E39" s="926">
        <f t="shared" si="74"/>
        <v>12815.59</v>
      </c>
      <c r="F39" s="926">
        <f t="shared" si="74"/>
        <v>311856.78999999998</v>
      </c>
      <c r="G39" s="927">
        <f t="shared" si="74"/>
        <v>164412.72</v>
      </c>
      <c r="H39" s="886">
        <f t="shared" si="75"/>
        <v>1</v>
      </c>
      <c r="I39" s="887">
        <f t="shared" si="75"/>
        <v>1</v>
      </c>
      <c r="J39" s="887">
        <f t="shared" si="75"/>
        <v>1</v>
      </c>
      <c r="K39" s="887">
        <f t="shared" si="75"/>
        <v>1</v>
      </c>
      <c r="L39" s="887">
        <f t="shared" si="75"/>
        <v>0.71094818427115392</v>
      </c>
      <c r="M39" s="888">
        <f t="shared" si="75"/>
        <v>1</v>
      </c>
      <c r="N39" s="293">
        <f t="shared" si="28"/>
        <v>8439.0850998258611</v>
      </c>
      <c r="O39" s="294">
        <f t="shared" si="29"/>
        <v>8142.0787304236428</v>
      </c>
      <c r="P39" s="294">
        <f t="shared" si="30"/>
        <v>8101.9786247610882</v>
      </c>
      <c r="Q39" s="294">
        <f t="shared" si="31"/>
        <v>8221.7758709921072</v>
      </c>
      <c r="R39" s="294">
        <f t="shared" si="32"/>
        <v>10517.372214020477</v>
      </c>
      <c r="S39" s="296">
        <f t="shared" si="33"/>
        <v>36269.670381923774</v>
      </c>
      <c r="T39" s="834">
        <f t="shared" si="61"/>
        <v>297.0063694022183</v>
      </c>
      <c r="U39" s="308">
        <f t="shared" si="62"/>
        <v>337.10647506477289</v>
      </c>
      <c r="V39" s="308">
        <f t="shared" si="63"/>
        <v>217.30922883375388</v>
      </c>
      <c r="W39" s="308">
        <f t="shared" si="64"/>
        <v>-2078.2871141946162</v>
      </c>
      <c r="X39" s="309">
        <f t="shared" si="65"/>
        <v>-27830.585282097913</v>
      </c>
      <c r="Y39" s="311">
        <f ca="1">IF(AND(Y$22=TRUE,INDEX(CDRANGE_CLS1,MATCH($A39,$A$24:$A$67,0),MATCH(Y$20,$B$20:$G$20,0))&lt;$D$6/OPDAYS_Cls1),86,payback(C39,T39,disc_rate/12,85))</f>
        <v>6</v>
      </c>
      <c r="Z39" s="312">
        <f ca="1">IF(AND(Z$22=TRUE,INDEX(CDRANGE_CLS1,MATCH($A39,$A$24:$A$67,0),MATCH(Z$20,$B$20:$G$20,0))&lt;$D$6/OPDAYS_Cls1),86,payback(D39,U39,disc_rate/12,85))</f>
        <v>10</v>
      </c>
      <c r="AA39" s="312">
        <f ca="1">IF(AND(AA$22=TRUE,INDEX(CDRANGE_CLS1,MATCH($A39,$A$24:$A$67,0),MATCH(AA$20,$B$20:$G$20,0))&lt;$D$6/OPDAYS_Cls1),86,payback(E39,V39,disc_rate/12,85))</f>
        <v>74</v>
      </c>
      <c r="AB39" s="312">
        <f ca="1">IF(AND(AB$22=TRUE,INDEX(CDRANGE_CLS1,MATCH($A39,$A$24:$A$67,0),MATCH(AB$20,$B$20:$G$20,0))&lt;$D$6/OPDAYS_Cls1),86,payback(F39,W39,disc_rate/12,85))</f>
        <v>86</v>
      </c>
      <c r="AC39" s="692">
        <f ca="1">IF(AND(AC$22=TRUE,INDEX(CDRANGE_CLS1,MATCH($A39,$A$24:$A$67,0),MATCH(AC$20,$B$20:$G$20,0))&lt;$D$6/OPDAYS_Cls1),86,payback(G39,X39,disc_rate/12,85))</f>
        <v>86</v>
      </c>
      <c r="AD39" s="314">
        <f t="shared" si="35"/>
        <v>5.956766754763039E-2</v>
      </c>
      <c r="AE39" s="315">
        <f t="shared" si="36"/>
        <v>4.9901167707680411E-2</v>
      </c>
      <c r="AF39" s="315">
        <f t="shared" si="37"/>
        <v>0</v>
      </c>
      <c r="AG39" s="315">
        <f t="shared" si="38"/>
        <v>0</v>
      </c>
      <c r="AH39" s="316">
        <f t="shared" si="39"/>
        <v>0</v>
      </c>
      <c r="AI39" s="1250">
        <f t="shared" si="40"/>
        <v>5.9601461011058773E-2</v>
      </c>
      <c r="AJ39" s="1251">
        <f t="shared" si="41"/>
        <v>5.9601461011058773E-2</v>
      </c>
      <c r="AK39" s="1251">
        <f t="shared" si="42"/>
        <v>5.9601461011058773E-2</v>
      </c>
      <c r="AL39" s="1251">
        <f t="shared" si="43"/>
        <v>5.9601461011058773E-2</v>
      </c>
      <c r="AM39" s="1259">
        <f t="shared" si="44"/>
        <v>0</v>
      </c>
      <c r="AN39" s="317">
        <f t="shared" si="66"/>
        <v>0.99975988528123605</v>
      </c>
      <c r="AO39" s="318">
        <f t="shared" si="67"/>
        <v>0.99889645446247832</v>
      </c>
      <c r="AP39" s="318">
        <f t="shared" si="68"/>
        <v>0.98168526833261616</v>
      </c>
      <c r="AQ39" s="318">
        <f t="shared" si="69"/>
        <v>1.7634611365502373E-5</v>
      </c>
      <c r="AR39" s="698">
        <f t="shared" si="70"/>
        <v>4.772505529813087E-2</v>
      </c>
      <c r="AS39" s="314">
        <f t="shared" ca="1" si="46"/>
        <v>0.11920292202211755</v>
      </c>
      <c r="AT39" s="315">
        <f t="shared" ca="1" si="47"/>
        <v>0.11455764279015102</v>
      </c>
      <c r="AU39" s="315">
        <f t="shared" ca="1" si="48"/>
        <v>1.7596068459180535E-4</v>
      </c>
      <c r="AV39" s="315">
        <f t="shared" ca="1" si="49"/>
        <v>0</v>
      </c>
      <c r="AW39" s="316">
        <f t="shared" ca="1" si="50"/>
        <v>0</v>
      </c>
      <c r="AX39" s="314">
        <f t="shared" ca="1" si="51"/>
        <v>0.11917429964602036</v>
      </c>
      <c r="AY39" s="315">
        <f t="shared" ca="1" si="52"/>
        <v>0.11443122321466094</v>
      </c>
      <c r="AZ39" s="315">
        <f t="shared" ca="1" si="53"/>
        <v>1.7273801186949727E-4</v>
      </c>
      <c r="BA39" s="315">
        <f t="shared" ca="1" si="71"/>
        <v>0</v>
      </c>
      <c r="BB39" s="316">
        <f t="shared" ca="1" si="72"/>
        <v>0</v>
      </c>
      <c r="BC39" s="314">
        <f t="shared" ca="1" si="73"/>
        <v>0.88082570035397967</v>
      </c>
      <c r="BD39" s="315">
        <f t="shared" ca="1" si="56"/>
        <v>6.0752071826996143E-2</v>
      </c>
      <c r="BE39" s="315">
        <f t="shared" ca="1" si="57"/>
        <v>5.8334170308843587E-2</v>
      </c>
      <c r="BF39" s="315">
        <f t="shared" ca="1" si="58"/>
        <v>8.805751018062431E-5</v>
      </c>
      <c r="BG39" s="315">
        <f t="shared" ca="1" si="59"/>
        <v>0</v>
      </c>
      <c r="BH39" s="316">
        <f t="shared" ca="1" si="60"/>
        <v>0</v>
      </c>
      <c r="BI39" s="245">
        <f ca="1">(AK39*AZ39/SUMPRODUCT($AI39:$AM39,$AX39:$BB39))</f>
        <v>7.3889681283782445E-4</v>
      </c>
    </row>
    <row r="40" spans="1:62" x14ac:dyDescent="0.2">
      <c r="A40" s="335">
        <v>2023</v>
      </c>
      <c r="B40" s="925">
        <f t="shared" si="74"/>
        <v>157653.82</v>
      </c>
      <c r="C40" s="926">
        <f t="shared" si="74"/>
        <v>2191.09</v>
      </c>
      <c r="D40" s="926">
        <f t="shared" si="74"/>
        <v>3558.64</v>
      </c>
      <c r="E40" s="926">
        <f t="shared" si="74"/>
        <v>13071.26</v>
      </c>
      <c r="F40" s="926">
        <f t="shared" si="74"/>
        <v>255374.37</v>
      </c>
      <c r="G40" s="927">
        <f t="shared" si="74"/>
        <v>138637.56</v>
      </c>
      <c r="H40" s="886">
        <f t="shared" si="75"/>
        <v>1</v>
      </c>
      <c r="I40" s="887">
        <f t="shared" si="75"/>
        <v>1</v>
      </c>
      <c r="J40" s="887">
        <f t="shared" si="75"/>
        <v>1</v>
      </c>
      <c r="K40" s="887">
        <f t="shared" si="75"/>
        <v>1</v>
      </c>
      <c r="L40" s="887">
        <f t="shared" si="75"/>
        <v>0.70886137340013955</v>
      </c>
      <c r="M40" s="888">
        <f t="shared" si="75"/>
        <v>1</v>
      </c>
      <c r="N40" s="293">
        <f t="shared" si="28"/>
        <v>8418.7790229930852</v>
      </c>
      <c r="O40" s="294">
        <f t="shared" si="29"/>
        <v>7989.2893141224467</v>
      </c>
      <c r="P40" s="294">
        <f t="shared" si="30"/>
        <v>7948.7936696988581</v>
      </c>
      <c r="Q40" s="294">
        <f t="shared" si="31"/>
        <v>8045.9183674030928</v>
      </c>
      <c r="R40" s="294">
        <f t="shared" si="32"/>
        <v>10244.879422971859</v>
      </c>
      <c r="S40" s="296">
        <f t="shared" si="33"/>
        <v>31479.469210851952</v>
      </c>
      <c r="T40" s="834">
        <f t="shared" si="61"/>
        <v>429.48970887063842</v>
      </c>
      <c r="U40" s="308">
        <f t="shared" si="62"/>
        <v>469.98535329422702</v>
      </c>
      <c r="V40" s="308">
        <f t="shared" si="63"/>
        <v>372.86065558999235</v>
      </c>
      <c r="W40" s="308">
        <f t="shared" si="64"/>
        <v>-1826.1003999787736</v>
      </c>
      <c r="X40" s="309">
        <f t="shared" si="65"/>
        <v>-23060.690187858869</v>
      </c>
      <c r="Y40" s="311">
        <f ca="1">IF(AND(Y$22=TRUE,INDEX(CDRANGE_CLS1,MATCH($A40,$A$24:$A$67,0),MATCH(Y$20,$B$20:$G$20,0))&lt;$D$6/OPDAYS_Cls1),86,payback(C40,T40,disc_rate/12,85))</f>
        <v>6</v>
      </c>
      <c r="Z40" s="312">
        <f ca="1">IF(AND(Z$22=TRUE,INDEX(CDRANGE_CLS1,MATCH($A40,$A$24:$A$67,0),MATCH(Z$20,$B$20:$G$20,0))&lt;$D$6/OPDAYS_Cls1),86,payback(D40,U40,disc_rate/12,85))</f>
        <v>8</v>
      </c>
      <c r="AA40" s="312">
        <f ca="1">IF(AND(AA$22=TRUE,INDEX(CDRANGE_CLS1,MATCH($A40,$A$24:$A$67,0),MATCH(AA$20,$B$20:$G$20,0))&lt;$D$6/OPDAYS_Cls1),86,payback(E40,V40,disc_rate/12,85))</f>
        <v>40</v>
      </c>
      <c r="AB40" s="312">
        <f ca="1">IF(AND(AB$22=TRUE,INDEX(CDRANGE_CLS1,MATCH($A40,$A$24:$A$67,0),MATCH(AB$20,$B$20:$G$20,0))&lt;$D$6/OPDAYS_Cls1),86,payback(F40,W40,disc_rate/12,85))</f>
        <v>86</v>
      </c>
      <c r="AC40" s="692">
        <f ca="1">IF(AND(AC$22=TRUE,INDEX(CDRANGE_CLS1,MATCH($A40,$A$24:$A$67,0),MATCH(AC$20,$B$20:$G$20,0))&lt;$D$6/OPDAYS_Cls1),86,payback(G40,X40,disc_rate/12,85))</f>
        <v>86</v>
      </c>
      <c r="AD40" s="314">
        <f t="shared" si="35"/>
        <v>0.13287435516889268</v>
      </c>
      <c r="AE40" s="315">
        <f t="shared" si="36"/>
        <v>9.0799202917391603E-2</v>
      </c>
      <c r="AF40" s="315">
        <f t="shared" si="37"/>
        <v>0</v>
      </c>
      <c r="AG40" s="315">
        <f t="shared" si="38"/>
        <v>0</v>
      </c>
      <c r="AH40" s="316">
        <f t="shared" si="39"/>
        <v>0</v>
      </c>
      <c r="AI40" s="1250">
        <f t="shared" si="40"/>
        <v>0.13447071068499755</v>
      </c>
      <c r="AJ40" s="1251">
        <f t="shared" si="41"/>
        <v>0.13447071068499755</v>
      </c>
      <c r="AK40" s="1251">
        <f t="shared" si="42"/>
        <v>0.13447071068499755</v>
      </c>
      <c r="AL40" s="1251">
        <f t="shared" si="43"/>
        <v>0.13447071068499755</v>
      </c>
      <c r="AM40" s="1259">
        <f t="shared" si="44"/>
        <v>0</v>
      </c>
      <c r="AN40" s="317">
        <f t="shared" si="66"/>
        <v>0.99946359547679142</v>
      </c>
      <c r="AO40" s="318">
        <f t="shared" si="67"/>
        <v>0.99858567467906389</v>
      </c>
      <c r="AP40" s="318">
        <f t="shared" si="68"/>
        <v>0.98108599302088029</v>
      </c>
      <c r="AQ40" s="318">
        <f t="shared" si="69"/>
        <v>6.8329542048228831E-4</v>
      </c>
      <c r="AR40" s="698">
        <f t="shared" si="70"/>
        <v>0.1167081009463673</v>
      </c>
      <c r="AS40" s="314">
        <f t="shared" ca="1" si="46"/>
        <v>0.2689414213699951</v>
      </c>
      <c r="AT40" s="315">
        <f t="shared" ca="1" si="47"/>
        <v>0.26588892548350462</v>
      </c>
      <c r="AU40" s="315">
        <f t="shared" ca="1" si="48"/>
        <v>4.1371703769126675E-2</v>
      </c>
      <c r="AV40" s="315">
        <f t="shared" ca="1" si="49"/>
        <v>0</v>
      </c>
      <c r="AW40" s="316">
        <f t="shared" ca="1" si="50"/>
        <v>0</v>
      </c>
      <c r="AX40" s="314">
        <f t="shared" ca="1" si="51"/>
        <v>0.26879715997509407</v>
      </c>
      <c r="AY40" s="315">
        <f t="shared" ca="1" si="52"/>
        <v>0.26551287204363683</v>
      </c>
      <c r="AZ40" s="315">
        <f t="shared" ca="1" si="53"/>
        <v>4.0589199075299343E-2</v>
      </c>
      <c r="BA40" s="315">
        <f t="shared" ca="1" si="71"/>
        <v>0</v>
      </c>
      <c r="BB40" s="316">
        <f t="shared" ca="1" si="72"/>
        <v>0</v>
      </c>
      <c r="BC40" s="314">
        <f t="shared" ca="1" si="73"/>
        <v>0.73120284002490599</v>
      </c>
      <c r="BD40" s="315">
        <f t="shared" ca="1" si="56"/>
        <v>0.12567752625652548</v>
      </c>
      <c r="BE40" s="315">
        <f t="shared" ca="1" si="57"/>
        <v>0.12414194015592105</v>
      </c>
      <c r="BF40" s="315">
        <f t="shared" ca="1" si="58"/>
        <v>1.8977693562647505E-2</v>
      </c>
      <c r="BG40" s="315">
        <f t="shared" ca="1" si="59"/>
        <v>0</v>
      </c>
      <c r="BH40" s="316">
        <f t="shared" ca="1" si="60"/>
        <v>0</v>
      </c>
    </row>
    <row r="41" spans="1:62" x14ac:dyDescent="0.2">
      <c r="A41" s="335">
        <v>2024</v>
      </c>
      <c r="B41" s="925">
        <f t="shared" si="74"/>
        <v>158205.09</v>
      </c>
      <c r="C41" s="926">
        <f t="shared" si="74"/>
        <v>2921.45</v>
      </c>
      <c r="D41" s="926">
        <f t="shared" si="74"/>
        <v>3985.09</v>
      </c>
      <c r="E41" s="926">
        <f t="shared" si="74"/>
        <v>13326.93</v>
      </c>
      <c r="F41" s="926">
        <f t="shared" si="74"/>
        <v>198891.94</v>
      </c>
      <c r="G41" s="927">
        <f t="shared" si="74"/>
        <v>112862.39999999999</v>
      </c>
      <c r="H41" s="886">
        <f t="shared" si="75"/>
        <v>1</v>
      </c>
      <c r="I41" s="887">
        <f t="shared" si="75"/>
        <v>1</v>
      </c>
      <c r="J41" s="887">
        <f t="shared" si="75"/>
        <v>1</v>
      </c>
      <c r="K41" s="887">
        <f t="shared" si="75"/>
        <v>1</v>
      </c>
      <c r="L41" s="887">
        <f t="shared" si="75"/>
        <v>0.70677456252912518</v>
      </c>
      <c r="M41" s="888">
        <f t="shared" si="75"/>
        <v>1</v>
      </c>
      <c r="N41" s="293">
        <f t="shared" si="28"/>
        <v>8422.89615593286</v>
      </c>
      <c r="O41" s="294">
        <f t="shared" si="29"/>
        <v>7868.6057268144095</v>
      </c>
      <c r="P41" s="294">
        <f t="shared" si="30"/>
        <v>7827.6649827063302</v>
      </c>
      <c r="Q41" s="294">
        <f t="shared" si="31"/>
        <v>7904.6178931683062</v>
      </c>
      <c r="R41" s="294">
        <f t="shared" si="32"/>
        <v>9974.8622474967815</v>
      </c>
      <c r="S41" s="296">
        <f t="shared" si="33"/>
        <v>21903.782626318451</v>
      </c>
      <c r="T41" s="834">
        <f t="shared" si="61"/>
        <v>554.29042911845045</v>
      </c>
      <c r="U41" s="308">
        <f t="shared" si="62"/>
        <v>595.23117322652979</v>
      </c>
      <c r="V41" s="308">
        <f t="shared" si="63"/>
        <v>518.2782627645538</v>
      </c>
      <c r="W41" s="308">
        <f t="shared" si="64"/>
        <v>-1551.9660915639215</v>
      </c>
      <c r="X41" s="309">
        <f t="shared" si="65"/>
        <v>-13480.886470385591</v>
      </c>
      <c r="Y41" s="311">
        <f ca="1">IF(AND(Y$22=TRUE,INDEX(CDRANGE_CLS1,MATCH($A41,$A$24:$A$67,0),MATCH(Y$20,$B$20:$G$20,0))&lt;$D$6/OPDAYS_Cls1),86,payback(C41,T41,disc_rate/12,85))</f>
        <v>6</v>
      </c>
      <c r="Z41" s="312">
        <f ca="1">IF(AND(Z$22=TRUE,INDEX(CDRANGE_CLS1,MATCH($A41,$A$24:$A$67,0),MATCH(Z$20,$B$20:$G$20,0))&lt;$D$6/OPDAYS_Cls1),86,payback(D41,U41,disc_rate/12,85))</f>
        <v>7</v>
      </c>
      <c r="AA41" s="312">
        <f ca="1">IF(AND(AA$22=TRUE,INDEX(CDRANGE_CLS1,MATCH($A41,$A$24:$A$67,0),MATCH(AA$20,$B$20:$G$20,0))&lt;$D$6/OPDAYS_Cls1),86,payback(E41,V41,disc_rate/12,85))</f>
        <v>29</v>
      </c>
      <c r="AB41" s="312">
        <f ca="1">IF(AND(AB$22=TRUE,INDEX(CDRANGE_CLS1,MATCH($A41,$A$24:$A$67,0),MATCH(AB$20,$B$20:$G$20,0))&lt;$D$6/OPDAYS_Cls1),86,payback(F41,W41,disc_rate/12,85))</f>
        <v>86</v>
      </c>
      <c r="AC41" s="692">
        <f ca="1">IF(AND(AC$22=TRUE,INDEX(CDRANGE_CLS1,MATCH($A41,$A$24:$A$67,0),MATCH(AC$20,$B$20:$G$20,0))&lt;$D$6/OPDAYS_Cls1),86,payback(G41,X41,disc_rate/12,85))</f>
        <v>86</v>
      </c>
      <c r="AD41" s="314">
        <f t="shared" si="35"/>
        <v>0.22641451474035781</v>
      </c>
      <c r="AE41" s="315">
        <f t="shared" si="36"/>
        <v>0.11225111517918399</v>
      </c>
      <c r="AF41" s="315">
        <f t="shared" si="37"/>
        <v>0</v>
      </c>
      <c r="AG41" s="315">
        <f t="shared" si="38"/>
        <v>0</v>
      </c>
      <c r="AH41" s="316">
        <f t="shared" si="39"/>
        <v>0</v>
      </c>
      <c r="AI41" s="1250">
        <f t="shared" si="40"/>
        <v>0.25</v>
      </c>
      <c r="AJ41" s="1251">
        <f t="shared" si="41"/>
        <v>0.25</v>
      </c>
      <c r="AK41" s="1251">
        <f t="shared" si="42"/>
        <v>0.25</v>
      </c>
      <c r="AL41" s="1251">
        <f t="shared" si="43"/>
        <v>0.25</v>
      </c>
      <c r="AM41" s="1259">
        <f t="shared" si="44"/>
        <v>0</v>
      </c>
      <c r="AN41" s="317">
        <f t="shared" si="66"/>
        <v>0.99905322269401986</v>
      </c>
      <c r="AO41" s="318">
        <f t="shared" si="67"/>
        <v>0.99823903715027296</v>
      </c>
      <c r="AP41" s="318">
        <f t="shared" si="68"/>
        <v>0.98048162808013239</v>
      </c>
      <c r="AQ41" s="318">
        <f t="shared" si="69"/>
        <v>1.2397414965663489E-2</v>
      </c>
      <c r="AR41" s="698">
        <f t="shared" si="70"/>
        <v>0.24324328531438355</v>
      </c>
      <c r="AS41" s="314">
        <f t="shared" ca="1" si="46"/>
        <v>0.5</v>
      </c>
      <c r="AT41" s="315">
        <f t="shared" ca="1" si="47"/>
        <v>0.49836364270351485</v>
      </c>
      <c r="AU41" s="315">
        <f t="shared" ca="1" si="48"/>
        <v>0.19801733591406256</v>
      </c>
      <c r="AV41" s="315">
        <f t="shared" ca="1" si="49"/>
        <v>0</v>
      </c>
      <c r="AW41" s="316">
        <f t="shared" ca="1" si="50"/>
        <v>0</v>
      </c>
      <c r="AX41" s="314">
        <f t="shared" ca="1" si="51"/>
        <v>0.49952661134700993</v>
      </c>
      <c r="AY41" s="315">
        <f t="shared" ca="1" si="52"/>
        <v>0.49748604284305931</v>
      </c>
      <c r="AZ41" s="315">
        <f t="shared" ca="1" si="53"/>
        <v>0.19415235990511054</v>
      </c>
      <c r="BA41" s="315">
        <f t="shared" ca="1" si="71"/>
        <v>0</v>
      </c>
      <c r="BB41" s="316">
        <f t="shared" ca="1" si="72"/>
        <v>0</v>
      </c>
      <c r="BC41" s="314">
        <f t="shared" ca="1" si="73"/>
        <v>0.50047338865299007</v>
      </c>
      <c r="BD41" s="315">
        <f t="shared" ca="1" si="56"/>
        <v>0.20948133339306449</v>
      </c>
      <c r="BE41" s="315">
        <f t="shared" ca="1" si="57"/>
        <v>0.20862560118305312</v>
      </c>
      <c r="BF41" s="315">
        <f t="shared" ca="1" si="58"/>
        <v>8.1419676770892332E-2</v>
      </c>
      <c r="BG41" s="315">
        <f t="shared" ca="1" si="59"/>
        <v>0</v>
      </c>
      <c r="BH41" s="316">
        <f t="shared" ca="1" si="60"/>
        <v>0</v>
      </c>
    </row>
    <row r="42" spans="1:62" ht="13.5" thickBot="1" x14ac:dyDescent="0.25">
      <c r="A42" s="320">
        <v>2025</v>
      </c>
      <c r="B42" s="928">
        <f t="shared" si="74"/>
        <v>158756.37</v>
      </c>
      <c r="C42" s="929">
        <f t="shared" si="74"/>
        <v>3651.82</v>
      </c>
      <c r="D42" s="929">
        <f t="shared" si="74"/>
        <v>4411.53</v>
      </c>
      <c r="E42" s="929">
        <f t="shared" si="74"/>
        <v>13582.6</v>
      </c>
      <c r="F42" s="929">
        <f t="shared" si="74"/>
        <v>142409.51999999999</v>
      </c>
      <c r="G42" s="930">
        <f t="shared" si="74"/>
        <v>87087.23</v>
      </c>
      <c r="H42" s="886">
        <f t="shared" si="75"/>
        <v>1</v>
      </c>
      <c r="I42" s="887">
        <f t="shared" si="75"/>
        <v>1</v>
      </c>
      <c r="J42" s="887">
        <f t="shared" si="75"/>
        <v>1</v>
      </c>
      <c r="K42" s="887">
        <f t="shared" si="75"/>
        <v>1</v>
      </c>
      <c r="L42" s="887">
        <f t="shared" si="75"/>
        <v>0.70468775165811071</v>
      </c>
      <c r="M42" s="888">
        <f t="shared" si="75"/>
        <v>1</v>
      </c>
      <c r="N42" s="883">
        <f t="shared" si="28"/>
        <v>8357.2935792735243</v>
      </c>
      <c r="O42" s="884">
        <f t="shared" si="29"/>
        <v>7691.4913979544908</v>
      </c>
      <c r="P42" s="884">
        <f t="shared" si="30"/>
        <v>7650.5045240234667</v>
      </c>
      <c r="Q42" s="884">
        <f t="shared" si="31"/>
        <v>7708.6809996419697</v>
      </c>
      <c r="R42" s="884">
        <f t="shared" si="32"/>
        <v>9668.9964127022104</v>
      </c>
      <c r="S42" s="885">
        <f t="shared" si="33"/>
        <v>16418.692563421155</v>
      </c>
      <c r="T42" s="837">
        <f t="shared" si="61"/>
        <v>665.80218131903348</v>
      </c>
      <c r="U42" s="322">
        <f t="shared" si="62"/>
        <v>706.78905525005757</v>
      </c>
      <c r="V42" s="322">
        <f t="shared" si="63"/>
        <v>648.61257963155458</v>
      </c>
      <c r="W42" s="322">
        <f t="shared" si="64"/>
        <v>-1311.7028334286861</v>
      </c>
      <c r="X42" s="323">
        <f t="shared" si="65"/>
        <v>-8061.3989841476305</v>
      </c>
      <c r="Y42" s="325">
        <f ca="1">IF(AND(Y$22=TRUE,INDEX(CDRANGE_CLS1,MATCH($A42,$A$24:$A$67,0),MATCH(Y$20,$B$20:$G$20,0))&lt;$D$6/OPDAYS_Cls1),86,payback(C42,T42,disc_rate/12,85))</f>
        <v>6</v>
      </c>
      <c r="Z42" s="326">
        <f ca="1">IF(AND(Z$22=TRUE,INDEX(CDRANGE_CLS1,MATCH($A42,$A$24:$A$67,0),MATCH(Z$20,$B$20:$G$20,0))&lt;$D$6/OPDAYS_Cls1),86,payback(D42,U42,disc_rate/12,85))</f>
        <v>7</v>
      </c>
      <c r="AA42" s="326">
        <f ca="1">IF(AND(AA$22=TRUE,INDEX(CDRANGE_CLS1,MATCH($A42,$A$24:$A$67,0),MATCH(AA$20,$B$20:$G$20,0))&lt;$D$6/OPDAYS_Cls1),86,payback(E42,V42,disc_rate/12,85))</f>
        <v>23</v>
      </c>
      <c r="AB42" s="326">
        <f ca="1">IF(AND(AB$22=TRUE,INDEX(CDRANGE_CLS1,MATCH($A42,$A$24:$A$67,0),MATCH(AB$20,$B$20:$G$20,0))&lt;$D$6/OPDAYS_Cls1),86,payback(F42,W42,disc_rate/12,85))</f>
        <v>86</v>
      </c>
      <c r="AC42" s="693">
        <f ca="1">IF(AND(AC$22=TRUE,INDEX(CDRANGE_CLS1,MATCH($A42,$A$24:$A$67,0),MATCH(AC$20,$B$20:$G$20,0))&lt;$D$6/OPDAYS_Cls1),86,payback(G42,X42,disc_rate/12,85))</f>
        <v>86</v>
      </c>
      <c r="AD42" s="328">
        <f t="shared" si="35"/>
        <v>0.22125346292571568</v>
      </c>
      <c r="AE42" s="329">
        <f t="shared" si="36"/>
        <v>5.6194923461241698E-2</v>
      </c>
      <c r="AF42" s="329">
        <f t="shared" si="37"/>
        <v>0</v>
      </c>
      <c r="AG42" s="329">
        <f t="shared" si="38"/>
        <v>0</v>
      </c>
      <c r="AH42" s="330">
        <f t="shared" si="39"/>
        <v>0</v>
      </c>
      <c r="AI42" s="1253">
        <f t="shared" si="40"/>
        <v>0.36552928931500245</v>
      </c>
      <c r="AJ42" s="1254">
        <f t="shared" si="41"/>
        <v>0.36552928931500245</v>
      </c>
      <c r="AK42" s="1254">
        <f t="shared" si="42"/>
        <v>0.36552928931500245</v>
      </c>
      <c r="AL42" s="1254">
        <f t="shared" si="43"/>
        <v>0.36552928931500245</v>
      </c>
      <c r="AM42" s="1260">
        <f t="shared" si="44"/>
        <v>5.848468161162576E-8</v>
      </c>
      <c r="AN42" s="331">
        <f t="shared" si="66"/>
        <v>0.9985312942880703</v>
      </c>
      <c r="AO42" s="332">
        <f t="shared" si="67"/>
        <v>0.99785736610962006</v>
      </c>
      <c r="AP42" s="332">
        <f t="shared" si="68"/>
        <v>0.97987234256158429</v>
      </c>
      <c r="AQ42" s="332">
        <f t="shared" si="69"/>
        <v>0.10697247579379587</v>
      </c>
      <c r="AR42" s="699">
        <f t="shared" si="70"/>
        <v>0.43349267368492483</v>
      </c>
      <c r="AS42" s="328">
        <f t="shared" ca="1" si="46"/>
        <v>0.7310585786300049</v>
      </c>
      <c r="AT42" s="329">
        <f t="shared" ca="1" si="47"/>
        <v>0.72866603255140638</v>
      </c>
      <c r="AU42" s="329">
        <f t="shared" ca="1" si="48"/>
        <v>0.42706341049277063</v>
      </c>
      <c r="AV42" s="329">
        <f t="shared" ca="1" si="49"/>
        <v>0</v>
      </c>
      <c r="AW42" s="330">
        <f t="shared" ca="1" si="50"/>
        <v>0</v>
      </c>
      <c r="AX42" s="328">
        <f t="shared" ca="1" si="51"/>
        <v>0.72998486871981583</v>
      </c>
      <c r="AY42" s="329">
        <f t="shared" ca="1" si="52"/>
        <v>0.727104768015293</v>
      </c>
      <c r="AZ42" s="329">
        <f t="shared" ca="1" si="53"/>
        <v>0.41846762446189062</v>
      </c>
      <c r="BA42" s="329">
        <f t="shared" ca="1" si="71"/>
        <v>0</v>
      </c>
      <c r="BB42" s="330">
        <f t="shared" ca="1" si="72"/>
        <v>0</v>
      </c>
      <c r="BC42" s="328">
        <f t="shared" ca="1" si="73"/>
        <v>0.27001513128018417</v>
      </c>
      <c r="BD42" s="329">
        <f t="shared" ca="1" si="56"/>
        <v>0.28411710993019679</v>
      </c>
      <c r="BE42" s="329">
        <f t="shared" ca="1" si="57"/>
        <v>0.28299614712186899</v>
      </c>
      <c r="BF42" s="329">
        <f t="shared" ca="1" si="58"/>
        <v>0.16287161166774997</v>
      </c>
      <c r="BG42" s="329">
        <f t="shared" ca="1" si="59"/>
        <v>0</v>
      </c>
      <c r="BH42" s="330">
        <f t="shared" ca="1" si="60"/>
        <v>0</v>
      </c>
      <c r="BJ42" s="603"/>
    </row>
    <row r="43" spans="1:62" x14ac:dyDescent="0.2">
      <c r="A43" s="334">
        <v>2026</v>
      </c>
      <c r="B43" s="931">
        <f t="shared" si="74"/>
        <v>159487.32999999999</v>
      </c>
      <c r="C43" s="932">
        <f t="shared" si="74"/>
        <v>3749.16</v>
      </c>
      <c r="D43" s="932">
        <f t="shared" si="74"/>
        <v>4423.53</v>
      </c>
      <c r="E43" s="932">
        <f t="shared" si="74"/>
        <v>13199.28</v>
      </c>
      <c r="F43" s="932">
        <f t="shared" si="74"/>
        <v>128389.75999999999</v>
      </c>
      <c r="G43" s="933">
        <f t="shared" si="74"/>
        <v>75720.08</v>
      </c>
      <c r="H43" s="886">
        <f t="shared" si="75"/>
        <v>1</v>
      </c>
      <c r="I43" s="887">
        <f t="shared" si="75"/>
        <v>1</v>
      </c>
      <c r="J43" s="887">
        <f t="shared" si="75"/>
        <v>1</v>
      </c>
      <c r="K43" s="887">
        <f t="shared" si="75"/>
        <v>1</v>
      </c>
      <c r="L43" s="887">
        <f t="shared" si="75"/>
        <v>0.7038406574849676</v>
      </c>
      <c r="M43" s="888">
        <f t="shared" si="75"/>
        <v>1</v>
      </c>
      <c r="N43" s="293">
        <f t="shared" si="28"/>
        <v>8206.5593915881873</v>
      </c>
      <c r="O43" s="294">
        <f t="shared" si="29"/>
        <v>7445.9756510893885</v>
      </c>
      <c r="P43" s="294">
        <f t="shared" si="30"/>
        <v>7405.4177737332739</v>
      </c>
      <c r="Q43" s="294">
        <f t="shared" si="31"/>
        <v>7446.3187958110266</v>
      </c>
      <c r="R43" s="294">
        <f t="shared" si="32"/>
        <v>9305.8202717169079</v>
      </c>
      <c r="S43" s="296">
        <f t="shared" si="33"/>
        <v>15122.968474034014</v>
      </c>
      <c r="T43" s="833">
        <f t="shared" si="61"/>
        <v>760.58374049879876</v>
      </c>
      <c r="U43" s="294">
        <f t="shared" si="62"/>
        <v>801.14161785491342</v>
      </c>
      <c r="V43" s="294">
        <f t="shared" si="63"/>
        <v>760.24059577716071</v>
      </c>
      <c r="W43" s="294">
        <f t="shared" si="64"/>
        <v>-1099.2608801287206</v>
      </c>
      <c r="X43" s="295">
        <f t="shared" si="65"/>
        <v>-6916.4090824458272</v>
      </c>
      <c r="Y43" s="297">
        <f ca="1">IF(AND(Y$22=TRUE,INDEX(CDRANGE_CLS1,MATCH($A43,$A$24:$A$67,0),MATCH(Y$20,$B$20:$G$20,0))&lt;$D$6/OPDAYS_Cls1),86,payback(C43,T43,disc_rate/12,85))</f>
        <v>6</v>
      </c>
      <c r="Z43" s="298">
        <f ca="1">IF(AND(Z$22=TRUE,INDEX(CDRANGE_CLS1,MATCH($A43,$A$24:$A$67,0),MATCH(Z$20,$B$20:$G$20,0))&lt;$D$6/OPDAYS_Cls1),86,payback(D43,U43,disc_rate/12,85))</f>
        <v>6</v>
      </c>
      <c r="AA43" s="298">
        <f ca="1">IF(AND(AA$22=TRUE,INDEX(CDRANGE_CLS1,MATCH($A43,$A$24:$A$67,0),MATCH(AA$20,$B$20:$G$20,0))&lt;$D$6/OPDAYS_Cls1),86,payback(E43,V43,disc_rate/12,85))</f>
        <v>19</v>
      </c>
      <c r="AB43" s="298">
        <f ca="1">IF(AND(AB$22=TRUE,INDEX(CDRANGE_CLS1,MATCH($A43,$A$24:$A$67,0),MATCH(AB$20,$B$20:$G$20,0))&lt;$D$6/OPDAYS_Cls1),86,payback(F43,W43,disc_rate/12,85))</f>
        <v>86</v>
      </c>
      <c r="AC43" s="710">
        <f ca="1">IF(AND(AC$22=TRUE,INDEX(CDRANGE_CLS1,MATCH($A43,$A$24:$A$67,0),MATCH(AC$20,$B$20:$G$20,0))&lt;$D$6/OPDAYS_Cls1),86,payback(G43,X43,disc_rate/12,85))</f>
        <v>86</v>
      </c>
      <c r="AD43" s="300">
        <f t="shared" si="35"/>
        <v>0.26657152974343012</v>
      </c>
      <c r="AE43" s="301">
        <f t="shared" si="36"/>
        <v>6.7705004535488736E-2</v>
      </c>
      <c r="AF43" s="301">
        <f t="shared" si="37"/>
        <v>0</v>
      </c>
      <c r="AG43" s="301">
        <f t="shared" si="38"/>
        <v>0</v>
      </c>
      <c r="AH43" s="302">
        <f t="shared" si="39"/>
        <v>0</v>
      </c>
      <c r="AI43" s="1247">
        <f t="shared" si="40"/>
        <v>0.44039853898894116</v>
      </c>
      <c r="AJ43" s="1248">
        <f t="shared" si="41"/>
        <v>0.44039853898894116</v>
      </c>
      <c r="AK43" s="1248">
        <f t="shared" si="42"/>
        <v>0.44039853898894116</v>
      </c>
      <c r="AL43" s="1248">
        <f t="shared" si="43"/>
        <v>0.44039853898894116</v>
      </c>
      <c r="AM43" s="1261">
        <f t="shared" si="44"/>
        <v>1.127418816714989E-6</v>
      </c>
      <c r="AN43" s="303">
        <f t="shared" si="66"/>
        <v>0.99846616094410323</v>
      </c>
      <c r="AO43" s="304">
        <f t="shared" si="67"/>
        <v>0.99786538704906957</v>
      </c>
      <c r="AP43" s="304">
        <f t="shared" si="68"/>
        <v>0.98115393292071562</v>
      </c>
      <c r="AQ43" s="304">
        <f t="shared" si="69"/>
        <v>0.16527601106268797</v>
      </c>
      <c r="AR43" s="711">
        <f t="shared" si="70"/>
        <v>0.53465481291300365</v>
      </c>
      <c r="AS43" s="300">
        <f t="shared" ca="1" si="46"/>
        <v>0.88079707797788231</v>
      </c>
      <c r="AT43" s="301">
        <f t="shared" ca="1" si="47"/>
        <v>0.88079707797788231</v>
      </c>
      <c r="AU43" s="301">
        <f t="shared" ca="1" si="48"/>
        <v>0.63216371453157927</v>
      </c>
      <c r="AV43" s="301">
        <f t="shared" ca="1" si="49"/>
        <v>0</v>
      </c>
      <c r="AW43" s="302">
        <f t="shared" ca="1" si="50"/>
        <v>0</v>
      </c>
      <c r="AX43" s="300">
        <f t="shared" ca="1" si="51"/>
        <v>0.87944607701936006</v>
      </c>
      <c r="AY43" s="301">
        <f t="shared" ca="1" si="52"/>
        <v>0.87891691712808906</v>
      </c>
      <c r="AZ43" s="301">
        <f t="shared" ca="1" si="53"/>
        <v>0.62024991476242752</v>
      </c>
      <c r="BA43" s="301">
        <f t="shared" ca="1" si="71"/>
        <v>0</v>
      </c>
      <c r="BB43" s="302">
        <f t="shared" ca="1" si="72"/>
        <v>0</v>
      </c>
      <c r="BC43" s="300">
        <f t="shared" ca="1" si="73"/>
        <v>0.12055392298064005</v>
      </c>
      <c r="BD43" s="301">
        <f t="shared" ca="1" si="56"/>
        <v>0.32515816234227229</v>
      </c>
      <c r="BE43" s="301">
        <f t="shared" ca="1" si="57"/>
        <v>0.3249625157161436</v>
      </c>
      <c r="BF43" s="301">
        <f t="shared" ca="1" si="58"/>
        <v>0.22932539896094412</v>
      </c>
      <c r="BG43" s="301">
        <f t="shared" ca="1" si="59"/>
        <v>0</v>
      </c>
      <c r="BH43" s="302">
        <f t="shared" ca="1" si="60"/>
        <v>0</v>
      </c>
    </row>
    <row r="44" spans="1:62" x14ac:dyDescent="0.2">
      <c r="A44" s="335">
        <v>2027</v>
      </c>
      <c r="B44" s="925">
        <f t="shared" ref="B44:G53" si="76">ROUND(INDEX(COST_Cls1,$A44-($A$24-1),MATCH(B$20,TECHOPTS_Cls1,0)),2)</f>
        <v>160218.29</v>
      </c>
      <c r="C44" s="926">
        <f t="shared" si="76"/>
        <v>3846.5</v>
      </c>
      <c r="D44" s="926">
        <f t="shared" si="76"/>
        <v>4435.53</v>
      </c>
      <c r="E44" s="926">
        <f t="shared" si="76"/>
        <v>12815.96</v>
      </c>
      <c r="F44" s="926">
        <f t="shared" si="76"/>
        <v>114370</v>
      </c>
      <c r="G44" s="927">
        <f t="shared" si="76"/>
        <v>64352.93</v>
      </c>
      <c r="H44" s="886">
        <f t="shared" ref="H44:M53" si="77">IF(H$21="Single-fuel",1,1-MIN(INDEX(CDRANGE_CLS1,$A44-($A$24-1),MATCH(H$20,TECHOPTS_Cls1,0))*OPDAYS_Cls1/$D$6,1))</f>
        <v>1</v>
      </c>
      <c r="I44" s="887">
        <f t="shared" si="77"/>
        <v>1</v>
      </c>
      <c r="J44" s="887">
        <f t="shared" si="77"/>
        <v>1</v>
      </c>
      <c r="K44" s="887">
        <f t="shared" si="77"/>
        <v>1</v>
      </c>
      <c r="L44" s="887">
        <f t="shared" si="77"/>
        <v>0.70299356331182461</v>
      </c>
      <c r="M44" s="888">
        <f t="shared" si="77"/>
        <v>1</v>
      </c>
      <c r="N44" s="293">
        <f t="shared" si="28"/>
        <v>8236.4755076063302</v>
      </c>
      <c r="O44" s="294">
        <f t="shared" si="29"/>
        <v>7372.2943855915437</v>
      </c>
      <c r="P44" s="294">
        <f t="shared" si="30"/>
        <v>7331.3190334275696</v>
      </c>
      <c r="Q44" s="294">
        <f t="shared" si="31"/>
        <v>7357.518587922782</v>
      </c>
      <c r="R44" s="294">
        <f t="shared" si="32"/>
        <v>9073.4249406051058</v>
      </c>
      <c r="S44" s="296">
        <f t="shared" si="33"/>
        <v>14154.186661044338</v>
      </c>
      <c r="T44" s="834">
        <f t="shared" si="61"/>
        <v>864.18112201478652</v>
      </c>
      <c r="U44" s="308">
        <f t="shared" si="62"/>
        <v>905.15647417876062</v>
      </c>
      <c r="V44" s="308">
        <f t="shared" si="63"/>
        <v>878.95691968354822</v>
      </c>
      <c r="W44" s="308">
        <f t="shared" si="64"/>
        <v>-836.94943299877559</v>
      </c>
      <c r="X44" s="309">
        <f t="shared" si="65"/>
        <v>-5917.7111534380074</v>
      </c>
      <c r="Y44" s="311">
        <f ca="1">IF(AND(Y$22=TRUE,INDEX(CDRANGE_CLS1,MATCH($A44,$A$24:$A$67,0),MATCH(Y$20,$B$20:$G$20,0))&lt;$D$6/OPDAYS_Cls1),86,payback(C44,T44,disc_rate/12,85))</f>
        <v>5</v>
      </c>
      <c r="Z44" s="312">
        <f ca="1">IF(AND(Z$22=TRUE,INDEX(CDRANGE_CLS1,MATCH($A44,$A$24:$A$67,0),MATCH(Z$20,$B$20:$G$20,0))&lt;$D$6/OPDAYS_Cls1),86,payback(D44,U44,disc_rate/12,85))</f>
        <v>5</v>
      </c>
      <c r="AA44" s="312">
        <f ca="1">IF(AND(AA$22=TRUE,INDEX(CDRANGE_CLS1,MATCH($A44,$A$24:$A$67,0),MATCH(AA$20,$B$20:$G$20,0))&lt;$D$6/OPDAYS_Cls1),86,payback(E44,V44,disc_rate/12,85))</f>
        <v>16</v>
      </c>
      <c r="AB44" s="312">
        <f ca="1">IF(AND(AB$22=TRUE,INDEX(CDRANGE_CLS1,MATCH($A44,$A$24:$A$67,0),MATCH(AB$20,$B$20:$G$20,0))&lt;$D$6/OPDAYS_Cls1),86,payback(F44,W44,disc_rate/12,85))</f>
        <v>86</v>
      </c>
      <c r="AC44" s="692">
        <f ca="1">IF(AND(AC$22=TRUE,INDEX(CDRANGE_CLS1,MATCH($A44,$A$24:$A$67,0),MATCH(AC$20,$B$20:$G$20,0))&lt;$D$6/OPDAYS_Cls1),86,payback(G44,X44,disc_rate/12,85))</f>
        <v>86</v>
      </c>
      <c r="AD44" s="314">
        <f t="shared" si="35"/>
        <v>0.25202290462741517</v>
      </c>
      <c r="AE44" s="315">
        <f t="shared" si="36"/>
        <v>7.3222354148774302E-2</v>
      </c>
      <c r="AF44" s="315">
        <f t="shared" si="37"/>
        <v>0</v>
      </c>
      <c r="AG44" s="315">
        <f t="shared" si="38"/>
        <v>0</v>
      </c>
      <c r="AH44" s="316">
        <f t="shared" si="39"/>
        <v>0</v>
      </c>
      <c r="AI44" s="1250">
        <f t="shared" si="40"/>
        <v>0.47628706341121668</v>
      </c>
      <c r="AJ44" s="1251">
        <f t="shared" si="41"/>
        <v>0.47628706341121668</v>
      </c>
      <c r="AK44" s="1251">
        <f t="shared" si="42"/>
        <v>0.47628706341121668</v>
      </c>
      <c r="AL44" s="1251">
        <f t="shared" si="43"/>
        <v>0.47628706341121668</v>
      </c>
      <c r="AM44" s="1259">
        <f t="shared" si="44"/>
        <v>1.2192933216365979E-6</v>
      </c>
      <c r="AN44" s="317">
        <f t="shared" si="66"/>
        <v>0.99840023138919487</v>
      </c>
      <c r="AO44" s="318">
        <f t="shared" si="67"/>
        <v>0.99787332001247075</v>
      </c>
      <c r="AP44" s="318">
        <f t="shared" si="68"/>
        <v>0.98238341077715796</v>
      </c>
      <c r="AQ44" s="318">
        <f t="shared" si="69"/>
        <v>0.24281392817915792</v>
      </c>
      <c r="AR44" s="698">
        <f t="shared" si="70"/>
        <v>0.63881771203782201</v>
      </c>
      <c r="AS44" s="314">
        <f t="shared" ca="1" si="46"/>
        <v>0.95257412682243336</v>
      </c>
      <c r="AT44" s="315">
        <f t="shared" ca="1" si="47"/>
        <v>0.95257412682243336</v>
      </c>
      <c r="AU44" s="315">
        <f t="shared" ca="1" si="48"/>
        <v>0.77459085349660961</v>
      </c>
      <c r="AV44" s="315">
        <f t="shared" ca="1" si="49"/>
        <v>0</v>
      </c>
      <c r="AW44" s="316">
        <f t="shared" ca="1" si="50"/>
        <v>0</v>
      </c>
      <c r="AX44" s="314">
        <f t="shared" ca="1" si="51"/>
        <v>0.95105022863487776</v>
      </c>
      <c r="AY44" s="315">
        <f t="shared" ca="1" si="52"/>
        <v>0.95054830649028199</v>
      </c>
      <c r="AZ44" s="315">
        <f t="shared" ca="1" si="53"/>
        <v>0.76094520461478921</v>
      </c>
      <c r="BA44" s="315">
        <f t="shared" ca="1" si="71"/>
        <v>0</v>
      </c>
      <c r="BB44" s="316">
        <f t="shared" ca="1" si="72"/>
        <v>0</v>
      </c>
      <c r="BC44" s="314">
        <f t="shared" ca="1" si="73"/>
        <v>4.894977136512213E-2</v>
      </c>
      <c r="BD44" s="315">
        <f t="shared" ca="1" si="56"/>
        <v>0.33971142854344083</v>
      </c>
      <c r="BE44" s="315">
        <f t="shared" ca="1" si="57"/>
        <v>0.33953214391301395</v>
      </c>
      <c r="BF44" s="315">
        <f t="shared" ca="1" si="58"/>
        <v>0.27180665617842314</v>
      </c>
      <c r="BG44" s="315">
        <f t="shared" ca="1" si="59"/>
        <v>0</v>
      </c>
      <c r="BH44" s="316">
        <f t="shared" ca="1" si="60"/>
        <v>0</v>
      </c>
    </row>
    <row r="45" spans="1:62" x14ac:dyDescent="0.2">
      <c r="A45" s="335">
        <v>2028</v>
      </c>
      <c r="B45" s="925">
        <f t="shared" si="76"/>
        <v>160949.25</v>
      </c>
      <c r="C45" s="926">
        <f t="shared" si="76"/>
        <v>3943.83</v>
      </c>
      <c r="D45" s="926">
        <f t="shared" si="76"/>
        <v>4447.53</v>
      </c>
      <c r="E45" s="926">
        <f t="shared" si="76"/>
        <v>12432.65</v>
      </c>
      <c r="F45" s="926">
        <f t="shared" si="76"/>
        <v>100350.24</v>
      </c>
      <c r="G45" s="927">
        <f t="shared" si="76"/>
        <v>52985.78</v>
      </c>
      <c r="H45" s="886">
        <f t="shared" si="77"/>
        <v>1</v>
      </c>
      <c r="I45" s="887">
        <f t="shared" si="77"/>
        <v>1</v>
      </c>
      <c r="J45" s="887">
        <f t="shared" si="77"/>
        <v>1</v>
      </c>
      <c r="K45" s="887">
        <f t="shared" si="77"/>
        <v>1</v>
      </c>
      <c r="L45" s="887">
        <f t="shared" si="77"/>
        <v>0.70214646913868151</v>
      </c>
      <c r="M45" s="888">
        <f t="shared" si="77"/>
        <v>1</v>
      </c>
      <c r="N45" s="293">
        <f t="shared" si="28"/>
        <v>8227.9149904970072</v>
      </c>
      <c r="O45" s="294">
        <f t="shared" si="29"/>
        <v>7269.7118338862119</v>
      </c>
      <c r="P45" s="294">
        <f t="shared" si="30"/>
        <v>7228.5458764086461</v>
      </c>
      <c r="Q45" s="294">
        <f t="shared" si="31"/>
        <v>7241.150534291688</v>
      </c>
      <c r="R45" s="294">
        <f t="shared" si="32"/>
        <v>8866.8643269303739</v>
      </c>
      <c r="S45" s="296">
        <f t="shared" si="33"/>
        <v>13316.187030447039</v>
      </c>
      <c r="T45" s="834">
        <f t="shared" si="61"/>
        <v>958.2031566107953</v>
      </c>
      <c r="U45" s="308">
        <f t="shared" si="62"/>
        <v>999.36911408836113</v>
      </c>
      <c r="V45" s="308">
        <f t="shared" si="63"/>
        <v>986.76445620531922</v>
      </c>
      <c r="W45" s="308">
        <f t="shared" si="64"/>
        <v>-638.94933643336662</v>
      </c>
      <c r="X45" s="309">
        <f t="shared" si="65"/>
        <v>-5088.2720399500322</v>
      </c>
      <c r="Y45" s="311">
        <f ca="1">IF(AND(Y$22=TRUE,INDEX(CDRANGE_CLS1,MATCH($A45,$A$24:$A$67,0),MATCH(Y$20,$B$20:$G$20,0))&lt;$D$6/OPDAYS_Cls1),86,payback(C45,T45,disc_rate/12,85))</f>
        <v>5</v>
      </c>
      <c r="Z45" s="312">
        <f ca="1">IF(AND(Z$22=TRUE,INDEX(CDRANGE_CLS1,MATCH($A45,$A$24:$A$67,0),MATCH(Z$20,$B$20:$G$20,0))&lt;$D$6/OPDAYS_Cls1),86,payback(D45,U45,disc_rate/12,85))</f>
        <v>5</v>
      </c>
      <c r="AA45" s="312">
        <f ca="1">IF(AND(AA$22=TRUE,INDEX(CDRANGE_CLS1,MATCH($A45,$A$24:$A$67,0),MATCH(AA$20,$B$20:$G$20,0))&lt;$D$6/OPDAYS_Cls1),86,payback(E45,V45,disc_rate/12,85))</f>
        <v>14</v>
      </c>
      <c r="AB45" s="312">
        <f ca="1">IF(AND(AB$22=TRUE,INDEX(CDRANGE_CLS1,MATCH($A45,$A$24:$A$67,0),MATCH(AB$20,$B$20:$G$20,0))&lt;$D$6/OPDAYS_Cls1),86,payback(F45,W45,disc_rate/12,85))</f>
        <v>86</v>
      </c>
      <c r="AC45" s="692">
        <f ca="1">IF(AND(AC$22=TRUE,INDEX(CDRANGE_CLS1,MATCH($A45,$A$24:$A$67,0),MATCH(AC$20,$B$20:$G$20,0))&lt;$D$6/OPDAYS_Cls1),86,payback(G45,X45,disc_rate/12,85))</f>
        <v>86</v>
      </c>
      <c r="AD45" s="314">
        <f t="shared" si="35"/>
        <v>0.22046428610618451</v>
      </c>
      <c r="AE45" s="315">
        <f t="shared" si="36"/>
        <v>7.5485318662806278E-2</v>
      </c>
      <c r="AF45" s="315">
        <f t="shared" si="37"/>
        <v>0</v>
      </c>
      <c r="AG45" s="315">
        <f t="shared" si="38"/>
        <v>0</v>
      </c>
      <c r="AH45" s="316">
        <f t="shared" si="39"/>
        <v>0</v>
      </c>
      <c r="AI45" s="1250">
        <f t="shared" si="40"/>
        <v>0.49100689501895423</v>
      </c>
      <c r="AJ45" s="1251">
        <f t="shared" si="41"/>
        <v>0.49100689501895423</v>
      </c>
      <c r="AK45" s="1251">
        <f t="shared" si="42"/>
        <v>0.49100689501895423</v>
      </c>
      <c r="AL45" s="1251">
        <f t="shared" si="43"/>
        <v>0.49100689501895423</v>
      </c>
      <c r="AM45" s="1259">
        <f t="shared" si="44"/>
        <v>2.0111230539163156E-5</v>
      </c>
      <c r="AN45" s="317">
        <f t="shared" si="66"/>
        <v>0.99833354404575014</v>
      </c>
      <c r="AO45" s="318">
        <f t="shared" si="67"/>
        <v>0.99788116639869495</v>
      </c>
      <c r="AP45" s="318">
        <f t="shared" si="68"/>
        <v>0.98356185488737546</v>
      </c>
      <c r="AQ45" s="318">
        <f t="shared" si="69"/>
        <v>0.33965239470610764</v>
      </c>
      <c r="AR45" s="698">
        <f t="shared" si="70"/>
        <v>0.740040966253798</v>
      </c>
      <c r="AS45" s="314">
        <f t="shared" ca="1" si="46"/>
        <v>0.98201379003790845</v>
      </c>
      <c r="AT45" s="315">
        <f t="shared" ca="1" si="47"/>
        <v>0.98201379003790845</v>
      </c>
      <c r="AU45" s="315">
        <f t="shared" ca="1" si="48"/>
        <v>0.85507638336733327</v>
      </c>
      <c r="AV45" s="315">
        <f t="shared" ca="1" si="49"/>
        <v>0</v>
      </c>
      <c r="AW45" s="316">
        <f t="shared" ca="1" si="50"/>
        <v>0</v>
      </c>
      <c r="AX45" s="314">
        <f t="shared" ca="1" si="51"/>
        <v>0.98037730731034434</v>
      </c>
      <c r="AY45" s="315">
        <f t="shared" ca="1" si="52"/>
        <v>0.97993306622263121</v>
      </c>
      <c r="AZ45" s="315">
        <f t="shared" ca="1" si="53"/>
        <v>0.84102051369516284</v>
      </c>
      <c r="BA45" s="315">
        <f t="shared" ca="1" si="71"/>
        <v>0</v>
      </c>
      <c r="BB45" s="316">
        <f t="shared" ca="1" si="72"/>
        <v>0</v>
      </c>
      <c r="BC45" s="314">
        <f t="shared" ca="1" si="73"/>
        <v>1.9622692689655774E-2</v>
      </c>
      <c r="BD45" s="315">
        <f t="shared" ca="1" si="56"/>
        <v>0.3431010842279007</v>
      </c>
      <c r="BE45" s="315">
        <f t="shared" ca="1" si="57"/>
        <v>0.34294561388223233</v>
      </c>
      <c r="BF45" s="315">
        <f t="shared" ca="1" si="58"/>
        <v>0.29433060920021126</v>
      </c>
      <c r="BG45" s="315">
        <f t="shared" ca="1" si="59"/>
        <v>0</v>
      </c>
      <c r="BH45" s="316">
        <f t="shared" ca="1" si="60"/>
        <v>0</v>
      </c>
    </row>
    <row r="46" spans="1:62" x14ac:dyDescent="0.2">
      <c r="A46" s="335">
        <v>2029</v>
      </c>
      <c r="B46" s="925">
        <f t="shared" si="76"/>
        <v>161680.21</v>
      </c>
      <c r="C46" s="926">
        <f t="shared" si="76"/>
        <v>4041.17</v>
      </c>
      <c r="D46" s="926">
        <f t="shared" si="76"/>
        <v>4459.53</v>
      </c>
      <c r="E46" s="926">
        <f t="shared" si="76"/>
        <v>12049.33</v>
      </c>
      <c r="F46" s="926">
        <f t="shared" si="76"/>
        <v>86330.48</v>
      </c>
      <c r="G46" s="927">
        <f t="shared" si="76"/>
        <v>41618.629999999997</v>
      </c>
      <c r="H46" s="886">
        <f t="shared" si="77"/>
        <v>1</v>
      </c>
      <c r="I46" s="887">
        <f t="shared" si="77"/>
        <v>1</v>
      </c>
      <c r="J46" s="887">
        <f t="shared" si="77"/>
        <v>1</v>
      </c>
      <c r="K46" s="887">
        <f t="shared" si="77"/>
        <v>1</v>
      </c>
      <c r="L46" s="887">
        <f t="shared" si="77"/>
        <v>0.70129937496553851</v>
      </c>
      <c r="M46" s="888">
        <f t="shared" si="77"/>
        <v>1</v>
      </c>
      <c r="N46" s="293">
        <f t="shared" si="28"/>
        <v>8479.0130236076984</v>
      </c>
      <c r="O46" s="294">
        <f t="shared" si="29"/>
        <v>7399.2255781464573</v>
      </c>
      <c r="P46" s="294">
        <f t="shared" si="30"/>
        <v>7356.5954020281833</v>
      </c>
      <c r="Q46" s="294">
        <f t="shared" si="31"/>
        <v>7356.7624437298073</v>
      </c>
      <c r="R46" s="294">
        <f t="shared" si="32"/>
        <v>8873.9905461426824</v>
      </c>
      <c r="S46" s="296">
        <f t="shared" si="33"/>
        <v>12685.555791571885</v>
      </c>
      <c r="T46" s="834">
        <f t="shared" si="61"/>
        <v>1079.7874454612411</v>
      </c>
      <c r="U46" s="308">
        <f t="shared" si="62"/>
        <v>1122.4176215795151</v>
      </c>
      <c r="V46" s="308">
        <f t="shared" si="63"/>
        <v>1122.2505798778911</v>
      </c>
      <c r="W46" s="308">
        <f t="shared" si="64"/>
        <v>-394.97752253498402</v>
      </c>
      <c r="X46" s="309">
        <f t="shared" si="65"/>
        <v>-4206.5427679641871</v>
      </c>
      <c r="Y46" s="311">
        <f ca="1">IF(AND(Y$22=TRUE,INDEX(CDRANGE_CLS1,MATCH($A46,$A$24:$A$67,0),MATCH(Y$20,$B$20:$G$20,0))&lt;$D$6/OPDAYS_Cls1),86,payback(C46,T46,disc_rate/12,85))</f>
        <v>4</v>
      </c>
      <c r="Z46" s="312">
        <f ca="1">IF(AND(Z$22=TRUE,INDEX(CDRANGE_CLS1,MATCH($A46,$A$24:$A$67,0),MATCH(Z$20,$B$20:$G$20,0))&lt;$D$6/OPDAYS_Cls1),86,payback(D46,U46,disc_rate/12,85))</f>
        <v>5</v>
      </c>
      <c r="AA46" s="312">
        <f ca="1">IF(AND(AA$22=TRUE,INDEX(CDRANGE_CLS1,MATCH($A46,$A$24:$A$67,0),MATCH(AA$20,$B$20:$G$20,0))&lt;$D$6/OPDAYS_Cls1),86,payback(E46,V46,disc_rate/12,85))</f>
        <v>12</v>
      </c>
      <c r="AB46" s="312">
        <f ca="1">IF(AND(AB$22=TRUE,INDEX(CDRANGE_CLS1,MATCH($A46,$A$24:$A$67,0),MATCH(AB$20,$B$20:$G$20,0))&lt;$D$6/OPDAYS_Cls1),86,payback(F46,W46,disc_rate/12,85))</f>
        <v>86</v>
      </c>
      <c r="AC46" s="692">
        <f ca="1">IF(AND(AC$22=TRUE,INDEX(CDRANGE_CLS1,MATCH($A46,$A$24:$A$67,0),MATCH(AC$20,$B$20:$G$20,0))&lt;$D$6/OPDAYS_Cls1),86,payback(G46,X46,disc_rate/12,85))</f>
        <v>86</v>
      </c>
      <c r="AD46" s="314">
        <f t="shared" si="35"/>
        <v>0.18270863945678634</v>
      </c>
      <c r="AE46" s="315">
        <f t="shared" si="36"/>
        <v>7.6353415235777433E-2</v>
      </c>
      <c r="AF46" s="315">
        <f t="shared" si="37"/>
        <v>0</v>
      </c>
      <c r="AG46" s="315">
        <f t="shared" si="38"/>
        <v>0</v>
      </c>
      <c r="AH46" s="316">
        <f t="shared" si="39"/>
        <v>0</v>
      </c>
      <c r="AI46" s="1250">
        <f t="shared" si="40"/>
        <v>0.49665357453785763</v>
      </c>
      <c r="AJ46" s="1251">
        <f t="shared" si="41"/>
        <v>0.49665357453785763</v>
      </c>
      <c r="AK46" s="1251">
        <f t="shared" si="42"/>
        <v>0.49665357453785763</v>
      </c>
      <c r="AL46" s="1251">
        <f t="shared" si="43"/>
        <v>0.49665357453785763</v>
      </c>
      <c r="AM46" s="1259">
        <f t="shared" si="44"/>
        <v>4.9662874268686648E-5</v>
      </c>
      <c r="AN46" s="317">
        <f t="shared" si="66"/>
        <v>0.99826611124831033</v>
      </c>
      <c r="AO46" s="318">
        <f t="shared" si="67"/>
        <v>0.99788892757771863</v>
      </c>
      <c r="AP46" s="318">
        <f t="shared" si="68"/>
        <v>0.98469040410032749</v>
      </c>
      <c r="AQ46" s="318">
        <f t="shared" si="69"/>
        <v>0.45294883360658611</v>
      </c>
      <c r="AR46" s="698">
        <f t="shared" si="70"/>
        <v>0.83188592005894602</v>
      </c>
      <c r="AS46" s="314">
        <f t="shared" ca="1" si="46"/>
        <v>0.99330714907571527</v>
      </c>
      <c r="AT46" s="315">
        <f t="shared" ca="1" si="47"/>
        <v>0.99330714907571527</v>
      </c>
      <c r="AU46" s="315">
        <f t="shared" ca="1" si="48"/>
        <v>0.91467671515112137</v>
      </c>
      <c r="AV46" s="315">
        <f t="shared" ca="1" si="49"/>
        <v>0</v>
      </c>
      <c r="AW46" s="316">
        <f t="shared" ca="1" si="50"/>
        <v>0</v>
      </c>
      <c r="AX46" s="314">
        <f t="shared" ca="1" si="51"/>
        <v>0.99158486498295995</v>
      </c>
      <c r="AY46" s="315">
        <f t="shared" ca="1" si="52"/>
        <v>0.99121020574644658</v>
      </c>
      <c r="AZ46" s="315">
        <f t="shared" ca="1" si="53"/>
        <v>0.90067338426331789</v>
      </c>
      <c r="BA46" s="315">
        <f t="shared" ca="1" si="71"/>
        <v>0</v>
      </c>
      <c r="BB46" s="316">
        <f t="shared" ca="1" si="72"/>
        <v>0</v>
      </c>
      <c r="BC46" s="314">
        <f t="shared" ca="1" si="73"/>
        <v>8.4151350170400541E-3</v>
      </c>
      <c r="BD46" s="315">
        <f t="shared" ca="1" si="56"/>
        <v>0.34099230139341191</v>
      </c>
      <c r="BE46" s="315">
        <f t="shared" ca="1" si="57"/>
        <v>0.34086346127108996</v>
      </c>
      <c r="BF46" s="315">
        <f t="shared" ca="1" si="58"/>
        <v>0.30972910231845807</v>
      </c>
      <c r="BG46" s="315">
        <f t="shared" ca="1" si="59"/>
        <v>0</v>
      </c>
      <c r="BH46" s="316">
        <f t="shared" ca="1" si="60"/>
        <v>0</v>
      </c>
    </row>
    <row r="47" spans="1:62" ht="13.5" thickBot="1" x14ac:dyDescent="0.25">
      <c r="A47" s="718">
        <v>2030</v>
      </c>
      <c r="B47" s="919">
        <f t="shared" si="76"/>
        <v>162352.82999999999</v>
      </c>
      <c r="C47" s="920">
        <f t="shared" si="76"/>
        <v>4138.51</v>
      </c>
      <c r="D47" s="920">
        <f t="shared" si="76"/>
        <v>4471.53</v>
      </c>
      <c r="E47" s="920">
        <f t="shared" si="76"/>
        <v>11666.01</v>
      </c>
      <c r="F47" s="920">
        <f t="shared" si="76"/>
        <v>72310.73</v>
      </c>
      <c r="G47" s="921">
        <f t="shared" si="76"/>
        <v>30251.48</v>
      </c>
      <c r="H47" s="886">
        <f t="shared" si="77"/>
        <v>1</v>
      </c>
      <c r="I47" s="887">
        <f t="shared" si="77"/>
        <v>1</v>
      </c>
      <c r="J47" s="887">
        <f t="shared" si="77"/>
        <v>1</v>
      </c>
      <c r="K47" s="887">
        <f t="shared" si="77"/>
        <v>1</v>
      </c>
      <c r="L47" s="887">
        <f t="shared" si="77"/>
        <v>0.7004522807923953</v>
      </c>
      <c r="M47" s="888">
        <f t="shared" si="77"/>
        <v>1</v>
      </c>
      <c r="N47" s="880">
        <f t="shared" si="28"/>
        <v>8534.0187868541998</v>
      </c>
      <c r="O47" s="881">
        <f t="shared" si="29"/>
        <v>7359.3458128072607</v>
      </c>
      <c r="P47" s="881">
        <f t="shared" si="30"/>
        <v>7316.2582250727055</v>
      </c>
      <c r="Q47" s="881">
        <f t="shared" si="31"/>
        <v>7304.5604689967449</v>
      </c>
      <c r="R47" s="881">
        <f t="shared" si="32"/>
        <v>8754.632773796624</v>
      </c>
      <c r="S47" s="882">
        <f t="shared" si="33"/>
        <v>12219.105819380964</v>
      </c>
      <c r="T47" s="835">
        <f t="shared" si="61"/>
        <v>1174.6729740469391</v>
      </c>
      <c r="U47" s="719">
        <f t="shared" si="62"/>
        <v>1217.7605617814943</v>
      </c>
      <c r="V47" s="719">
        <f t="shared" si="63"/>
        <v>1229.4583178574549</v>
      </c>
      <c r="W47" s="719">
        <f t="shared" si="64"/>
        <v>-220.61398694242416</v>
      </c>
      <c r="X47" s="720">
        <f t="shared" si="65"/>
        <v>-3685.0870325267642</v>
      </c>
      <c r="Y47" s="721">
        <f ca="1">IF(AND(Y$22=TRUE,INDEX(CDRANGE_CLS1,MATCH($A47,$A$24:$A$67,0),MATCH(Y$20,$B$20:$G$20,0))&lt;$D$6/OPDAYS_Cls1),86,payback(C47,T47,disc_rate/12,85))</f>
        <v>4</v>
      </c>
      <c r="Z47" s="722">
        <f ca="1">IF(AND(Z$22=TRUE,INDEX(CDRANGE_CLS1,MATCH($A47,$A$24:$A$67,0),MATCH(Z$20,$B$20:$G$20,0))&lt;$D$6/OPDAYS_Cls1),86,payback(D47,U47,disc_rate/12,85))</f>
        <v>4</v>
      </c>
      <c r="AA47" s="722">
        <f ca="1">IF(AND(AA$22=TRUE,INDEX(CDRANGE_CLS1,MATCH($A47,$A$24:$A$67,0),MATCH(AA$20,$B$20:$G$20,0))&lt;$D$6/OPDAYS_Cls1),86,payback(E47,V47,disc_rate/12,85))</f>
        <v>10</v>
      </c>
      <c r="AB47" s="722">
        <f ca="1">IF(AND(AB$22=TRUE,INDEX(CDRANGE_CLS1,MATCH($A47,$A$24:$A$67,0),MATCH(AB$20,$B$20:$G$20,0))&lt;$D$6/OPDAYS_Cls1),86,payback(F47,W47,disc_rate/12,85))</f>
        <v>86</v>
      </c>
      <c r="AC47" s="723">
        <f ca="1">IF(AND(AC$22=TRUE,INDEX(CDRANGE_CLS1,MATCH($A47,$A$24:$A$67,0),MATCH(AC$20,$B$20:$G$20,0))&lt;$D$6/OPDAYS_Cls1),86,payback(G47,X47,disc_rate/12,85))</f>
        <v>86</v>
      </c>
      <c r="AD47" s="724">
        <f t="shared" si="35"/>
        <v>0.14428239773949031</v>
      </c>
      <c r="AE47" s="725">
        <f t="shared" si="36"/>
        <v>7.6677815199507476E-2</v>
      </c>
      <c r="AF47" s="725">
        <f t="shared" si="37"/>
        <v>0</v>
      </c>
      <c r="AG47" s="725">
        <f t="shared" si="38"/>
        <v>0</v>
      </c>
      <c r="AH47" s="726">
        <f t="shared" si="39"/>
        <v>0</v>
      </c>
      <c r="AI47" s="1262">
        <f t="shared" si="40"/>
        <v>0.49876368842168267</v>
      </c>
      <c r="AJ47" s="1263">
        <f t="shared" si="41"/>
        <v>0.49876368842168267</v>
      </c>
      <c r="AK47" s="1263">
        <f t="shared" si="42"/>
        <v>0.49876368842168267</v>
      </c>
      <c r="AL47" s="1263">
        <f t="shared" si="43"/>
        <v>0.49876368842168267</v>
      </c>
      <c r="AM47" s="1264">
        <f t="shared" si="44"/>
        <v>1.9156825975678672E-4</v>
      </c>
      <c r="AN47" s="730">
        <f t="shared" si="66"/>
        <v>0.9981966753922622</v>
      </c>
      <c r="AO47" s="728">
        <f t="shared" si="67"/>
        <v>0.99789509454064651</v>
      </c>
      <c r="AP47" s="728">
        <f t="shared" si="68"/>
        <v>0.9857599417234898</v>
      </c>
      <c r="AQ47" s="728">
        <f t="shared" si="69"/>
        <v>0.57634999282684884</v>
      </c>
      <c r="AR47" s="729">
        <f t="shared" si="70"/>
        <v>0.90806159220613536</v>
      </c>
      <c r="AS47" s="724">
        <f t="shared" ca="1" si="46"/>
        <v>0.99752737684336534</v>
      </c>
      <c r="AT47" s="725">
        <f t="shared" ca="1" si="47"/>
        <v>0.99752737684336534</v>
      </c>
      <c r="AU47" s="725">
        <f t="shared" ca="1" si="48"/>
        <v>0.95865422567926251</v>
      </c>
      <c r="AV47" s="725">
        <f t="shared" ca="1" si="49"/>
        <v>0</v>
      </c>
      <c r="AW47" s="726">
        <f t="shared" ca="1" si="50"/>
        <v>0</v>
      </c>
      <c r="AX47" s="724">
        <f t="shared" ca="1" si="51"/>
        <v>0.99572851117781158</v>
      </c>
      <c r="AY47" s="725">
        <f t="shared" ca="1" si="52"/>
        <v>0.99542767602199322</v>
      </c>
      <c r="AZ47" s="725">
        <f t="shared" ca="1" si="53"/>
        <v>0.94500293363856702</v>
      </c>
      <c r="BA47" s="725">
        <f t="shared" ca="1" si="71"/>
        <v>0</v>
      </c>
      <c r="BB47" s="726">
        <f t="shared" ca="1" si="72"/>
        <v>0</v>
      </c>
      <c r="BC47" s="724">
        <f t="shared" ca="1" si="73"/>
        <v>4.2714888221883074E-3</v>
      </c>
      <c r="BD47" s="725">
        <f t="shared" ca="1" si="56"/>
        <v>0.33767763502179743</v>
      </c>
      <c r="BE47" s="725">
        <f t="shared" ca="1" si="57"/>
        <v>0.33757561393592128</v>
      </c>
      <c r="BF47" s="725">
        <f t="shared" ca="1" si="58"/>
        <v>0.32047526222009293</v>
      </c>
      <c r="BG47" s="725">
        <f t="shared" ca="1" si="59"/>
        <v>0</v>
      </c>
      <c r="BH47" s="726">
        <f t="shared" ca="1" si="60"/>
        <v>0</v>
      </c>
    </row>
    <row r="48" spans="1:62" x14ac:dyDescent="0.2">
      <c r="A48" s="336">
        <v>2031</v>
      </c>
      <c r="B48" s="922">
        <f t="shared" si="76"/>
        <v>162352.82999999999</v>
      </c>
      <c r="C48" s="923">
        <f t="shared" si="76"/>
        <v>4138.51</v>
      </c>
      <c r="D48" s="923">
        <f t="shared" si="76"/>
        <v>4471.53</v>
      </c>
      <c r="E48" s="923">
        <f t="shared" si="76"/>
        <v>12448.26</v>
      </c>
      <c r="F48" s="923">
        <f t="shared" si="76"/>
        <v>66808.679999999993</v>
      </c>
      <c r="G48" s="924">
        <f t="shared" si="76"/>
        <v>27282.04</v>
      </c>
      <c r="H48" s="886">
        <f t="shared" si="77"/>
        <v>1</v>
      </c>
      <c r="I48" s="887">
        <f t="shared" si="77"/>
        <v>1</v>
      </c>
      <c r="J48" s="887">
        <f t="shared" si="77"/>
        <v>1</v>
      </c>
      <c r="K48" s="887">
        <f t="shared" si="77"/>
        <v>1</v>
      </c>
      <c r="L48" s="887">
        <f t="shared" si="77"/>
        <v>0.69980828768360892</v>
      </c>
      <c r="M48" s="888">
        <f t="shared" si="77"/>
        <v>1</v>
      </c>
      <c r="N48" s="731">
        <f t="shared" si="28"/>
        <v>8614.9386058807049</v>
      </c>
      <c r="O48" s="732">
        <f t="shared" si="29"/>
        <v>7429.1273478846333</v>
      </c>
      <c r="P48" s="732">
        <f t="shared" si="30"/>
        <v>7385.6312023663577</v>
      </c>
      <c r="Q48" s="732">
        <f t="shared" si="31"/>
        <v>7245.7155754384003</v>
      </c>
      <c r="R48" s="732">
        <f t="shared" si="32"/>
        <v>8649.9097583975308</v>
      </c>
      <c r="S48" s="846">
        <f t="shared" si="33"/>
        <v>11685.710069736171</v>
      </c>
      <c r="T48" s="836">
        <f t="shared" si="61"/>
        <v>1185.8112579960716</v>
      </c>
      <c r="U48" s="732">
        <f t="shared" si="62"/>
        <v>1229.3074035143472</v>
      </c>
      <c r="V48" s="732">
        <f t="shared" si="63"/>
        <v>1369.2230304423047</v>
      </c>
      <c r="W48" s="732">
        <f t="shared" si="64"/>
        <v>-34.971152516825896</v>
      </c>
      <c r="X48" s="733">
        <f t="shared" si="65"/>
        <v>-3070.7714638554662</v>
      </c>
      <c r="Y48" s="734">
        <f ca="1">IF(AND(Y$22=TRUE,INDEX(CDRANGE_CLS1,MATCH($A48,$A$24:$A$67,0),MATCH(Y$20,$B$20:$G$20,0))&lt;$D$6/OPDAYS_Cls1),86,payback(C48,T48,disc_rate/12,85))</f>
        <v>4</v>
      </c>
      <c r="Z48" s="735">
        <f ca="1">IF(AND(Z$22=TRUE,INDEX(CDRANGE_CLS1,MATCH($A48,$A$24:$A$67,0),MATCH(Z$20,$B$20:$G$20,0))&lt;$D$6/OPDAYS_Cls1),86,payback(D48,U48,disc_rate/12,85))</f>
        <v>4</v>
      </c>
      <c r="AA48" s="735">
        <f ca="1">IF(AND(AA$22=TRUE,INDEX(CDRANGE_CLS1,MATCH($A48,$A$24:$A$67,0),MATCH(AA$20,$B$20:$G$20,0))&lt;$D$6/OPDAYS_Cls1),86,payback(E48,V48,disc_rate/12,85))</f>
        <v>10</v>
      </c>
      <c r="AB48" s="735">
        <f ca="1">IF(AND(AB$22=TRUE,INDEX(CDRANGE_CLS1,MATCH($A48,$A$24:$A$67,0),MATCH(AB$20,$B$20:$G$20,0))&lt;$D$6/OPDAYS_Cls1),86,payback(F48,W48,disc_rate/12,85))</f>
        <v>86</v>
      </c>
      <c r="AC48" s="736">
        <f ca="1">IF(AND(AC$22=TRUE,INDEX(CDRANGE_CLS1,MATCH($A48,$A$24:$A$67,0),MATCH(AC$20,$B$20:$G$20,0))&lt;$D$6/OPDAYS_Cls1),86,payback(G48,X48,disc_rate/12,85))</f>
        <v>86</v>
      </c>
      <c r="AD48" s="737">
        <f t="shared" si="35"/>
        <v>0.14450826356752089</v>
      </c>
      <c r="AE48" s="738">
        <f t="shared" si="36"/>
        <v>7.6797849926493938E-2</v>
      </c>
      <c r="AF48" s="738">
        <f t="shared" si="37"/>
        <v>0</v>
      </c>
      <c r="AG48" s="738">
        <f t="shared" si="38"/>
        <v>0</v>
      </c>
      <c r="AH48" s="739">
        <f t="shared" si="39"/>
        <v>0</v>
      </c>
      <c r="AI48" s="1256">
        <f t="shared" si="40"/>
        <v>0.4995444744027997</v>
      </c>
      <c r="AJ48" s="1257">
        <f t="shared" si="41"/>
        <v>0.4995444744027997</v>
      </c>
      <c r="AK48" s="1257">
        <f t="shared" si="42"/>
        <v>0.4995444744027997</v>
      </c>
      <c r="AL48" s="1257">
        <f t="shared" si="43"/>
        <v>0.4995444744027997</v>
      </c>
      <c r="AM48" s="1258">
        <f t="shared" si="44"/>
        <v>3.2727421381663498E-4</v>
      </c>
      <c r="AN48" s="743">
        <f t="shared" si="66"/>
        <v>0.9981966753922622</v>
      </c>
      <c r="AO48" s="741">
        <f t="shared" si="67"/>
        <v>0.99789509454064651</v>
      </c>
      <c r="AP48" s="741">
        <f t="shared" si="68"/>
        <v>0.98380228278757431</v>
      </c>
      <c r="AQ48" s="741">
        <f t="shared" si="69"/>
        <v>0.62476839414190222</v>
      </c>
      <c r="AR48" s="742">
        <f t="shared" si="70"/>
        <v>0.92455855529823472</v>
      </c>
      <c r="AS48" s="737">
        <f t="shared" ca="1" si="46"/>
        <v>0.9990889488055994</v>
      </c>
      <c r="AT48" s="738">
        <f t="shared" ca="1" si="47"/>
        <v>0.9990889488055994</v>
      </c>
      <c r="AU48" s="738">
        <f t="shared" ca="1" si="48"/>
        <v>0.96015494395030909</v>
      </c>
      <c r="AV48" s="738">
        <f t="shared" ca="1" si="49"/>
        <v>0</v>
      </c>
      <c r="AW48" s="739">
        <f t="shared" ca="1" si="50"/>
        <v>0</v>
      </c>
      <c r="AX48" s="737">
        <f t="shared" ca="1" si="51"/>
        <v>0.99728726711889937</v>
      </c>
      <c r="AY48" s="738">
        <f t="shared" ca="1" si="52"/>
        <v>0.99698596102287873</v>
      </c>
      <c r="AZ48" s="738">
        <f t="shared" ca="1" si="53"/>
        <v>0.9446026256880895</v>
      </c>
      <c r="BA48" s="738">
        <f t="shared" ca="1" si="71"/>
        <v>0</v>
      </c>
      <c r="BB48" s="739">
        <f t="shared" ca="1" si="72"/>
        <v>0</v>
      </c>
      <c r="BC48" s="737">
        <f t="shared" ca="1" si="73"/>
        <v>2.7127328811006324E-3</v>
      </c>
      <c r="BD48" s="738">
        <f t="shared" ca="1" si="56"/>
        <v>0.33842256108279273</v>
      </c>
      <c r="BE48" s="738">
        <f t="shared" ca="1" si="57"/>
        <v>0.33832031493562215</v>
      </c>
      <c r="BF48" s="738">
        <f t="shared" ca="1" si="58"/>
        <v>0.32054439110048449</v>
      </c>
      <c r="BG48" s="738">
        <f t="shared" ca="1" si="59"/>
        <v>0</v>
      </c>
      <c r="BH48" s="739">
        <f t="shared" ca="1" si="60"/>
        <v>0</v>
      </c>
    </row>
    <row r="49" spans="1:60" x14ac:dyDescent="0.2">
      <c r="A49" s="335">
        <v>2032</v>
      </c>
      <c r="B49" s="925">
        <f t="shared" si="76"/>
        <v>162352.82999999999</v>
      </c>
      <c r="C49" s="926">
        <f t="shared" si="76"/>
        <v>4138.51</v>
      </c>
      <c r="D49" s="926">
        <f t="shared" si="76"/>
        <v>4471.53</v>
      </c>
      <c r="E49" s="926">
        <f t="shared" si="76"/>
        <v>13230.52</v>
      </c>
      <c r="F49" s="926">
        <f t="shared" si="76"/>
        <v>61306.63</v>
      </c>
      <c r="G49" s="927">
        <f t="shared" si="76"/>
        <v>24312.59</v>
      </c>
      <c r="H49" s="886">
        <f t="shared" si="77"/>
        <v>1</v>
      </c>
      <c r="I49" s="887">
        <f t="shared" si="77"/>
        <v>1</v>
      </c>
      <c r="J49" s="887">
        <f t="shared" si="77"/>
        <v>1</v>
      </c>
      <c r="K49" s="887">
        <f t="shared" si="77"/>
        <v>1</v>
      </c>
      <c r="L49" s="887">
        <f t="shared" si="77"/>
        <v>0.69916429457482265</v>
      </c>
      <c r="M49" s="888">
        <f t="shared" si="77"/>
        <v>1</v>
      </c>
      <c r="N49" s="293">
        <f t="shared" si="28"/>
        <v>8702.2699012864141</v>
      </c>
      <c r="O49" s="294">
        <f t="shared" si="29"/>
        <v>7504.437845696174</v>
      </c>
      <c r="P49" s="294">
        <f t="shared" si="30"/>
        <v>7460.5007713556479</v>
      </c>
      <c r="Q49" s="294">
        <f t="shared" si="31"/>
        <v>7194.180793541831</v>
      </c>
      <c r="R49" s="294">
        <f t="shared" si="32"/>
        <v>8559.5403672204484</v>
      </c>
      <c r="S49" s="296">
        <f t="shared" si="33"/>
        <v>11034.839368155159</v>
      </c>
      <c r="T49" s="834">
        <f t="shared" si="61"/>
        <v>1197.8320555902401</v>
      </c>
      <c r="U49" s="308">
        <f t="shared" si="62"/>
        <v>1241.7691299307662</v>
      </c>
      <c r="V49" s="308">
        <f t="shared" si="63"/>
        <v>1508.0891077445831</v>
      </c>
      <c r="W49" s="308">
        <f t="shared" si="64"/>
        <v>142.72953406596571</v>
      </c>
      <c r="X49" s="309">
        <f t="shared" si="65"/>
        <v>-2332.5694668687447</v>
      </c>
      <c r="Y49" s="311">
        <f ca="1">IF(AND(Y$22=TRUE,INDEX(CDRANGE_CLS1,MATCH($A49,$A$24:$A$67,0),MATCH(Y$20,$B$20:$G$20,0))&lt;$D$6/OPDAYS_Cls1),86,payback(C49,T49,disc_rate/12,85))</f>
        <v>4</v>
      </c>
      <c r="Z49" s="312">
        <f ca="1">IF(AND(Z$22=TRUE,INDEX(CDRANGE_CLS1,MATCH($A49,$A$24:$A$67,0),MATCH(Z$20,$B$20:$G$20,0))&lt;$D$6/OPDAYS_Cls1),86,payback(D49,U49,disc_rate/12,85))</f>
        <v>4</v>
      </c>
      <c r="AA49" s="312">
        <f ca="1">IF(AND(AA$22=TRUE,INDEX(CDRANGE_CLS1,MATCH($A49,$A$24:$A$67,0),MATCH(AA$20,$B$20:$G$20,0))&lt;$D$6/OPDAYS_Cls1),86,payback(E49,V49,disc_rate/12,85))</f>
        <v>10</v>
      </c>
      <c r="AB49" s="312">
        <f ca="1">IF(AND(AB$22=TRUE,INDEX(CDRANGE_CLS1,MATCH($A49,$A$24:$A$67,0),MATCH(AB$20,$B$20:$G$20,0))&lt;$D$6/OPDAYS_Cls1),86,payback(F49,W49,disc_rate/12,85))</f>
        <v>86</v>
      </c>
      <c r="AC49" s="692">
        <f ca="1">IF(AND(AC$22=TRUE,INDEX(CDRANGE_CLS1,MATCH($A49,$A$24:$A$67,0),MATCH(AC$20,$B$20:$G$20,0))&lt;$D$6/OPDAYS_Cls1),86,payback(G49,X49,disc_rate/12,85))</f>
        <v>86</v>
      </c>
      <c r="AD49" s="314">
        <f t="shared" si="35"/>
        <v>0.144591532991312</v>
      </c>
      <c r="AE49" s="315">
        <f t="shared" si="36"/>
        <v>7.6842102847080637E-2</v>
      </c>
      <c r="AF49" s="315">
        <f t="shared" si="37"/>
        <v>0</v>
      </c>
      <c r="AG49" s="315">
        <f t="shared" si="38"/>
        <v>0</v>
      </c>
      <c r="AH49" s="316">
        <f t="shared" si="39"/>
        <v>0</v>
      </c>
      <c r="AI49" s="1250">
        <f t="shared" si="40"/>
        <v>0.49983232493476681</v>
      </c>
      <c r="AJ49" s="1251">
        <f t="shared" si="41"/>
        <v>0.49983232493476681</v>
      </c>
      <c r="AK49" s="1251">
        <f t="shared" si="42"/>
        <v>0.49983232493476681</v>
      </c>
      <c r="AL49" s="1251">
        <f t="shared" si="43"/>
        <v>0.49983232493476681</v>
      </c>
      <c r="AM49" s="1259">
        <f t="shared" si="44"/>
        <v>7.9909227560213318E-4</v>
      </c>
      <c r="AN49" s="317">
        <f t="shared" si="66"/>
        <v>0.9981966753922622</v>
      </c>
      <c r="AO49" s="318">
        <f t="shared" si="67"/>
        <v>0.99789509454064651</v>
      </c>
      <c r="AP49" s="318">
        <f t="shared" si="68"/>
        <v>0.98172186045188237</v>
      </c>
      <c r="AQ49" s="318">
        <f t="shared" si="69"/>
        <v>0.67294687545504683</v>
      </c>
      <c r="AR49" s="698">
        <f t="shared" si="70"/>
        <v>0.93960740956422517</v>
      </c>
      <c r="AS49" s="314">
        <f t="shared" ca="1" si="46"/>
        <v>0.99966464986953363</v>
      </c>
      <c r="AT49" s="315">
        <f t="shared" ca="1" si="47"/>
        <v>0.99966464986953363</v>
      </c>
      <c r="AU49" s="315">
        <f t="shared" ca="1" si="48"/>
        <v>0.96070821022698516</v>
      </c>
      <c r="AV49" s="315">
        <f t="shared" ca="1" si="49"/>
        <v>0</v>
      </c>
      <c r="AW49" s="316">
        <f t="shared" ca="1" si="50"/>
        <v>0</v>
      </c>
      <c r="AX49" s="314">
        <f t="shared" ca="1" si="51"/>
        <v>0.99786193000693835</v>
      </c>
      <c r="AY49" s="315">
        <f t="shared" ca="1" si="52"/>
        <v>0.99756045029050056</v>
      </c>
      <c r="AZ49" s="315">
        <f t="shared" ca="1" si="53"/>
        <v>0.94314825149543402</v>
      </c>
      <c r="BA49" s="315">
        <f t="shared" ca="1" si="71"/>
        <v>0</v>
      </c>
      <c r="BB49" s="316">
        <f t="shared" ca="1" si="72"/>
        <v>0</v>
      </c>
      <c r="BC49" s="314">
        <f t="shared" ca="1" si="73"/>
        <v>2.1380699930617642E-3</v>
      </c>
      <c r="BD49" s="315">
        <f t="shared" ca="1" si="56"/>
        <v>0.33884788086569173</v>
      </c>
      <c r="BE49" s="315">
        <f t="shared" ca="1" si="57"/>
        <v>0.33874550621849159</v>
      </c>
      <c r="BF49" s="315">
        <f t="shared" ca="1" si="58"/>
        <v>0.32026854292275503</v>
      </c>
      <c r="BG49" s="315">
        <f t="shared" ca="1" si="59"/>
        <v>0</v>
      </c>
      <c r="BH49" s="316">
        <f t="shared" ca="1" si="60"/>
        <v>0</v>
      </c>
    </row>
    <row r="50" spans="1:60" x14ac:dyDescent="0.2">
      <c r="A50" s="335">
        <v>2033</v>
      </c>
      <c r="B50" s="925">
        <f t="shared" si="76"/>
        <v>162352.82999999999</v>
      </c>
      <c r="C50" s="926">
        <f t="shared" si="76"/>
        <v>4138.51</v>
      </c>
      <c r="D50" s="926">
        <f t="shared" si="76"/>
        <v>4471.53</v>
      </c>
      <c r="E50" s="926">
        <f t="shared" si="76"/>
        <v>14012.78</v>
      </c>
      <c r="F50" s="926">
        <f t="shared" si="76"/>
        <v>55804.58</v>
      </c>
      <c r="G50" s="927">
        <f t="shared" si="76"/>
        <v>21343.14</v>
      </c>
      <c r="H50" s="886">
        <f t="shared" si="77"/>
        <v>1</v>
      </c>
      <c r="I50" s="887">
        <f t="shared" si="77"/>
        <v>1</v>
      </c>
      <c r="J50" s="887">
        <f t="shared" si="77"/>
        <v>1</v>
      </c>
      <c r="K50" s="887">
        <f t="shared" si="77"/>
        <v>1</v>
      </c>
      <c r="L50" s="887">
        <f t="shared" si="77"/>
        <v>0.69852030146603639</v>
      </c>
      <c r="M50" s="888">
        <f t="shared" si="77"/>
        <v>1</v>
      </c>
      <c r="N50" s="293">
        <f t="shared" si="28"/>
        <v>8776.9252709839784</v>
      </c>
      <c r="O50" s="294">
        <f t="shared" si="29"/>
        <v>7568.8172074142039</v>
      </c>
      <c r="P50" s="294">
        <f t="shared" si="30"/>
        <v>7524.5032040005135</v>
      </c>
      <c r="Q50" s="294">
        <f t="shared" si="31"/>
        <v>7134.0732667406473</v>
      </c>
      <c r="R50" s="294">
        <f t="shared" si="32"/>
        <v>8457.7493123749755</v>
      </c>
      <c r="S50" s="296">
        <f t="shared" si="33"/>
        <v>10430.505214228066</v>
      </c>
      <c r="T50" s="834">
        <f t="shared" si="61"/>
        <v>1208.1080635697745</v>
      </c>
      <c r="U50" s="308">
        <f t="shared" si="62"/>
        <v>1252.4220669834649</v>
      </c>
      <c r="V50" s="308">
        <f t="shared" si="63"/>
        <v>1642.8520042433311</v>
      </c>
      <c r="W50" s="308">
        <f t="shared" si="64"/>
        <v>319.17595860900292</v>
      </c>
      <c r="X50" s="309">
        <f t="shared" si="65"/>
        <v>-1653.5799432440872</v>
      </c>
      <c r="Y50" s="311">
        <f ca="1">IF(AND(Y$22=TRUE,INDEX(CDRANGE_CLS1,MATCH($A50,$A$24:$A$67,0),MATCH(Y$20,$B$20:$G$20,0))&lt;$D$6/OPDAYS_Cls1),86,payback(C50,T50,disc_rate/12,85))</f>
        <v>4</v>
      </c>
      <c r="Z50" s="312">
        <f ca="1">IF(AND(Z$22=TRUE,INDEX(CDRANGE_CLS1,MATCH($A50,$A$24:$A$67,0),MATCH(Z$20,$B$20:$G$20,0))&lt;$D$6/OPDAYS_Cls1),86,payback(D50,U50,disc_rate/12,85))</f>
        <v>4</v>
      </c>
      <c r="AA50" s="312">
        <f ca="1">IF(AND(AA$22=TRUE,INDEX(CDRANGE_CLS1,MATCH($A50,$A$24:$A$67,0),MATCH(AA$20,$B$20:$G$20,0))&lt;$D$6/OPDAYS_Cls1),86,payback(E50,V50,disc_rate/12,85))</f>
        <v>9</v>
      </c>
      <c r="AB50" s="312">
        <f ca="1">IF(AND(AB$22=TRUE,INDEX(CDRANGE_CLS1,MATCH($A50,$A$24:$A$67,0),MATCH(AB$20,$B$20:$G$20,0))&lt;$D$6/OPDAYS_Cls1),86,payback(F50,W50,disc_rate/12,85))</f>
        <v>86</v>
      </c>
      <c r="AC50" s="692">
        <f ca="1">IF(AND(AC$22=TRUE,INDEX(CDRANGE_CLS1,MATCH($A50,$A$24:$A$67,0),MATCH(AC$20,$B$20:$G$20,0))&lt;$D$6/OPDAYS_Cls1),86,payback(G50,X50,disc_rate/12,85))</f>
        <v>86</v>
      </c>
      <c r="AD50" s="314">
        <f t="shared" si="35"/>
        <v>0.14462219025077624</v>
      </c>
      <c r="AE50" s="315">
        <f t="shared" si="36"/>
        <v>7.6858395421313896E-2</v>
      </c>
      <c r="AF50" s="315">
        <f t="shared" si="37"/>
        <v>0</v>
      </c>
      <c r="AG50" s="315">
        <f t="shared" si="38"/>
        <v>0</v>
      </c>
      <c r="AH50" s="316">
        <f t="shared" si="39"/>
        <v>0</v>
      </c>
      <c r="AI50" s="1250">
        <f t="shared" si="40"/>
        <v>0.49993830271200684</v>
      </c>
      <c r="AJ50" s="1251">
        <f t="shared" si="41"/>
        <v>0.49993830271200684</v>
      </c>
      <c r="AK50" s="1251">
        <f t="shared" si="42"/>
        <v>0.49993830271200684</v>
      </c>
      <c r="AL50" s="1251">
        <f t="shared" si="43"/>
        <v>0.49993830271200684</v>
      </c>
      <c r="AM50" s="1259">
        <f t="shared" si="44"/>
        <v>1.1697648133383034E-3</v>
      </c>
      <c r="AN50" s="317">
        <f t="shared" si="66"/>
        <v>0.9981966753922622</v>
      </c>
      <c r="AO50" s="318">
        <f t="shared" si="67"/>
        <v>0.99789509454064651</v>
      </c>
      <c r="AP50" s="318">
        <f t="shared" si="68"/>
        <v>0.97951949455660758</v>
      </c>
      <c r="AQ50" s="318">
        <f t="shared" si="69"/>
        <v>0.72023045442075906</v>
      </c>
      <c r="AR50" s="698">
        <f t="shared" si="70"/>
        <v>0.95312818648793163</v>
      </c>
      <c r="AS50" s="314">
        <f t="shared" ca="1" si="46"/>
        <v>0.99987660542401369</v>
      </c>
      <c r="AT50" s="315">
        <f t="shared" ca="1" si="47"/>
        <v>0.99987660542401369</v>
      </c>
      <c r="AU50" s="315">
        <f t="shared" ca="1" si="48"/>
        <v>0.97647466515719827</v>
      </c>
      <c r="AV50" s="315">
        <f t="shared" ca="1" si="49"/>
        <v>0</v>
      </c>
      <c r="AW50" s="316">
        <f t="shared" ca="1" si="50"/>
        <v>0</v>
      </c>
      <c r="AX50" s="314">
        <f t="shared" ca="1" si="51"/>
        <v>0.99807350333675127</v>
      </c>
      <c r="AY50" s="315">
        <f t="shared" ca="1" si="52"/>
        <v>0.99777195969857679</v>
      </c>
      <c r="AZ50" s="315">
        <f t="shared" ca="1" si="53"/>
        <v>0.95647597046211152</v>
      </c>
      <c r="BA50" s="315">
        <f t="shared" ca="1" si="71"/>
        <v>0</v>
      </c>
      <c r="BB50" s="316">
        <f t="shared" ca="1" si="72"/>
        <v>0</v>
      </c>
      <c r="BC50" s="314">
        <f t="shared" ca="1" si="73"/>
        <v>1.9264966632487335E-3</v>
      </c>
      <c r="BD50" s="315">
        <f t="shared" ca="1" si="56"/>
        <v>0.33741269048838479</v>
      </c>
      <c r="BE50" s="315">
        <f t="shared" ca="1" si="57"/>
        <v>0.33731074944905659</v>
      </c>
      <c r="BF50" s="315">
        <f t="shared" ca="1" si="58"/>
        <v>0.32335006339930994</v>
      </c>
      <c r="BG50" s="315">
        <f t="shared" ca="1" si="59"/>
        <v>0</v>
      </c>
      <c r="BH50" s="316">
        <f t="shared" ca="1" si="60"/>
        <v>0</v>
      </c>
    </row>
    <row r="51" spans="1:60" x14ac:dyDescent="0.2">
      <c r="A51" s="335">
        <v>2034</v>
      </c>
      <c r="B51" s="925">
        <f t="shared" si="76"/>
        <v>162352.82999999999</v>
      </c>
      <c r="C51" s="926">
        <f t="shared" si="76"/>
        <v>4138.51</v>
      </c>
      <c r="D51" s="926">
        <f t="shared" si="76"/>
        <v>4471.53</v>
      </c>
      <c r="E51" s="926">
        <f t="shared" si="76"/>
        <v>14795.03</v>
      </c>
      <c r="F51" s="926">
        <f t="shared" si="76"/>
        <v>50302.53</v>
      </c>
      <c r="G51" s="927">
        <f t="shared" si="76"/>
        <v>18373.689999999999</v>
      </c>
      <c r="H51" s="886">
        <f t="shared" si="77"/>
        <v>1</v>
      </c>
      <c r="I51" s="887">
        <f t="shared" si="77"/>
        <v>1</v>
      </c>
      <c r="J51" s="887">
        <f t="shared" si="77"/>
        <v>1</v>
      </c>
      <c r="K51" s="887">
        <f t="shared" si="77"/>
        <v>1</v>
      </c>
      <c r="L51" s="887">
        <f t="shared" si="77"/>
        <v>0.69787630835725001</v>
      </c>
      <c r="M51" s="888">
        <f t="shared" si="77"/>
        <v>1</v>
      </c>
      <c r="N51" s="293">
        <f t="shared" si="28"/>
        <v>8794.0643488207643</v>
      </c>
      <c r="O51" s="294">
        <f t="shared" si="29"/>
        <v>7583.5971608996397</v>
      </c>
      <c r="P51" s="294">
        <f t="shared" si="30"/>
        <v>7539.1966236337939</v>
      </c>
      <c r="Q51" s="294">
        <f t="shared" si="31"/>
        <v>7029.9722947047894</v>
      </c>
      <c r="R51" s="294">
        <f t="shared" si="32"/>
        <v>8308.5634726114258</v>
      </c>
      <c r="S51" s="296">
        <f t="shared" si="33"/>
        <v>9850.8384665433659</v>
      </c>
      <c r="T51" s="834">
        <f t="shared" si="61"/>
        <v>1210.4671879211246</v>
      </c>
      <c r="U51" s="308">
        <f t="shared" si="62"/>
        <v>1254.8677251869703</v>
      </c>
      <c r="V51" s="308">
        <f t="shared" si="63"/>
        <v>1764.0920541159749</v>
      </c>
      <c r="W51" s="308">
        <f t="shared" si="64"/>
        <v>485.50087620933846</v>
      </c>
      <c r="X51" s="309">
        <f t="shared" si="65"/>
        <v>-1056.7741177226017</v>
      </c>
      <c r="Y51" s="311">
        <f ca="1">IF(AND(Y$22=TRUE,INDEX(CDRANGE_CLS1,MATCH($A51,$A$24:$A$67,0),MATCH(Y$20,$B$20:$G$20,0))&lt;$D$6/OPDAYS_Cls1),86,payback(C51,T51,disc_rate/12,85))</f>
        <v>4</v>
      </c>
      <c r="Z51" s="312">
        <f ca="1">IF(AND(Z$22=TRUE,INDEX(CDRANGE_CLS1,MATCH($A51,$A$24:$A$67,0),MATCH(Z$20,$B$20:$G$20,0))&lt;$D$6/OPDAYS_Cls1),86,payback(D51,U51,disc_rate/12,85))</f>
        <v>4</v>
      </c>
      <c r="AA51" s="312">
        <f ca="1">IF(AND(AA$22=TRUE,INDEX(CDRANGE_CLS1,MATCH($A51,$A$24:$A$67,0),MATCH(AA$20,$B$20:$G$20,0))&lt;$D$6/OPDAYS_Cls1),86,payback(E51,V51,disc_rate/12,85))</f>
        <v>9</v>
      </c>
      <c r="AB51" s="312">
        <f ca="1">IF(AND(AB$22=TRUE,INDEX(CDRANGE_CLS1,MATCH($A51,$A$24:$A$67,0),MATCH(AB$20,$B$20:$G$20,0))&lt;$D$6/OPDAYS_Cls1),86,payback(F51,W51,disc_rate/12,85))</f>
        <v>86</v>
      </c>
      <c r="AC51" s="692">
        <f ca="1">IF(AND(AC$22=TRUE,INDEX(CDRANGE_CLS1,MATCH($A51,$A$24:$A$67,0),MATCH(AC$20,$B$20:$G$20,0))&lt;$D$6/OPDAYS_Cls1),86,payback(G51,X51,disc_rate/12,85))</f>
        <v>86</v>
      </c>
      <c r="AD51" s="314">
        <f t="shared" si="35"/>
        <v>0.14463347169748533</v>
      </c>
      <c r="AE51" s="315">
        <f t="shared" si="36"/>
        <v>7.6864390862888848E-2</v>
      </c>
      <c r="AF51" s="315">
        <f t="shared" si="37"/>
        <v>0</v>
      </c>
      <c r="AG51" s="315">
        <f t="shared" si="38"/>
        <v>0</v>
      </c>
      <c r="AH51" s="316">
        <f t="shared" si="39"/>
        <v>0</v>
      </c>
      <c r="AI51" s="1250">
        <f t="shared" si="40"/>
        <v>0.4999773010656488</v>
      </c>
      <c r="AJ51" s="1251">
        <f t="shared" si="41"/>
        <v>0.4999773010656488</v>
      </c>
      <c r="AK51" s="1251">
        <f t="shared" si="42"/>
        <v>0.4999773010656488</v>
      </c>
      <c r="AL51" s="1251">
        <f t="shared" si="43"/>
        <v>0.4999773010656488</v>
      </c>
      <c r="AM51" s="1259">
        <f t="shared" si="44"/>
        <v>2.2795637746865363E-3</v>
      </c>
      <c r="AN51" s="317">
        <f t="shared" si="66"/>
        <v>0.9981966753922622</v>
      </c>
      <c r="AO51" s="318">
        <f t="shared" si="67"/>
        <v>0.99789509454064651</v>
      </c>
      <c r="AP51" s="318">
        <f t="shared" si="68"/>
        <v>0.97719605657096653</v>
      </c>
      <c r="AQ51" s="318">
        <f t="shared" si="69"/>
        <v>0.76593365367827637</v>
      </c>
      <c r="AR51" s="698">
        <f t="shared" si="70"/>
        <v>0.96504832632795534</v>
      </c>
      <c r="AS51" s="314">
        <f t="shared" ca="1" si="46"/>
        <v>0.99995460213129761</v>
      </c>
      <c r="AT51" s="315">
        <f t="shared" ca="1" si="47"/>
        <v>0.99995460213129761</v>
      </c>
      <c r="AU51" s="315">
        <f t="shared" ca="1" si="48"/>
        <v>0.97655083636494056</v>
      </c>
      <c r="AV51" s="315">
        <f t="shared" ca="1" si="49"/>
        <v>0</v>
      </c>
      <c r="AW51" s="316">
        <f t="shared" ca="1" si="50"/>
        <v>0</v>
      </c>
      <c r="AX51" s="314">
        <f t="shared" ca="1" si="51"/>
        <v>0.99815135939065358</v>
      </c>
      <c r="AY51" s="315">
        <f t="shared" ca="1" si="52"/>
        <v>0.99784979223016579</v>
      </c>
      <c r="AZ51" s="315">
        <f t="shared" ca="1" si="53"/>
        <v>0.95428162633689917</v>
      </c>
      <c r="BA51" s="315">
        <f t="shared" ca="1" si="71"/>
        <v>0</v>
      </c>
      <c r="BB51" s="316">
        <f t="shared" ca="1" si="72"/>
        <v>0</v>
      </c>
      <c r="BC51" s="314">
        <f t="shared" ca="1" si="73"/>
        <v>1.8486406093463081E-3</v>
      </c>
      <c r="BD51" s="315">
        <f t="shared" ca="1" si="56"/>
        <v>0.3376985228999253</v>
      </c>
      <c r="BE51" s="315">
        <f t="shared" ca="1" si="57"/>
        <v>0.33759649550328469</v>
      </c>
      <c r="BF51" s="315">
        <f t="shared" ca="1" si="58"/>
        <v>0.32285634098744365</v>
      </c>
      <c r="BG51" s="315">
        <f t="shared" ca="1" si="59"/>
        <v>0</v>
      </c>
      <c r="BH51" s="316">
        <f t="shared" ca="1" si="60"/>
        <v>0</v>
      </c>
    </row>
    <row r="52" spans="1:60" ht="13.5" thickBot="1" x14ac:dyDescent="0.25">
      <c r="A52" s="320">
        <v>2035</v>
      </c>
      <c r="B52" s="928">
        <f t="shared" si="76"/>
        <v>162352.82999999999</v>
      </c>
      <c r="C52" s="929">
        <f t="shared" si="76"/>
        <v>4138.51</v>
      </c>
      <c r="D52" s="929">
        <f t="shared" si="76"/>
        <v>4471.53</v>
      </c>
      <c r="E52" s="929">
        <f t="shared" si="76"/>
        <v>15577.29</v>
      </c>
      <c r="F52" s="929">
        <f t="shared" si="76"/>
        <v>44800.480000000003</v>
      </c>
      <c r="G52" s="930">
        <f t="shared" si="76"/>
        <v>15404.24</v>
      </c>
      <c r="H52" s="886">
        <f t="shared" si="77"/>
        <v>1</v>
      </c>
      <c r="I52" s="887">
        <f t="shared" si="77"/>
        <v>1</v>
      </c>
      <c r="J52" s="887">
        <f t="shared" si="77"/>
        <v>1</v>
      </c>
      <c r="K52" s="887">
        <f t="shared" si="77"/>
        <v>1</v>
      </c>
      <c r="L52" s="887">
        <f t="shared" si="77"/>
        <v>0.69723231524846363</v>
      </c>
      <c r="M52" s="888">
        <f t="shared" si="77"/>
        <v>1</v>
      </c>
      <c r="N52" s="883">
        <f t="shared" si="28"/>
        <v>8866.8279289538841</v>
      </c>
      <c r="O52" s="884">
        <f t="shared" si="29"/>
        <v>7646.3451301919504</v>
      </c>
      <c r="P52" s="884">
        <f t="shared" si="30"/>
        <v>7601.577215349238</v>
      </c>
      <c r="Q52" s="884">
        <f t="shared" si="31"/>
        <v>6972.9973118025628</v>
      </c>
      <c r="R52" s="884">
        <f t="shared" si="32"/>
        <v>8195.6952898392083</v>
      </c>
      <c r="S52" s="885">
        <f t="shared" si="33"/>
        <v>9331.738905555183</v>
      </c>
      <c r="T52" s="837">
        <f t="shared" si="61"/>
        <v>1220.4827987619337</v>
      </c>
      <c r="U52" s="322">
        <f t="shared" si="62"/>
        <v>1265.2507136046461</v>
      </c>
      <c r="V52" s="322">
        <f t="shared" si="63"/>
        <v>1893.8306171513213</v>
      </c>
      <c r="W52" s="322">
        <f t="shared" si="64"/>
        <v>671.13263911467584</v>
      </c>
      <c r="X52" s="323">
        <f t="shared" si="65"/>
        <v>-464.9109766012989</v>
      </c>
      <c r="Y52" s="325">
        <f ca="1">IF(AND(Y$22=TRUE,INDEX(CDRANGE_CLS1,MATCH($A52,$A$24:$A$67,0),MATCH(Y$20,$B$20:$G$20,0))&lt;$D$6/OPDAYS_Cls1),86,payback(C52,T52,disc_rate/12,85))</f>
        <v>4</v>
      </c>
      <c r="Z52" s="326">
        <f ca="1">IF(AND(Z$22=TRUE,INDEX(CDRANGE_CLS1,MATCH($A52,$A$24:$A$67,0),MATCH(Z$20,$B$20:$G$20,0))&lt;$D$6/OPDAYS_Cls1),86,payback(D52,U52,disc_rate/12,85))</f>
        <v>4</v>
      </c>
      <c r="AA52" s="326">
        <f ca="1">IF(AND(AA$22=TRUE,INDEX(CDRANGE_CLS1,MATCH($A52,$A$24:$A$67,0),MATCH(AA$20,$B$20:$G$20,0))&lt;$D$6/OPDAYS_Cls1),86,payback(E52,V52,disc_rate/12,85))</f>
        <v>9</v>
      </c>
      <c r="AB52" s="326">
        <f ca="1">IF(AND(AB$22=TRUE,INDEX(CDRANGE_CLS1,MATCH($A52,$A$24:$A$67,0),MATCH(AB$20,$B$20:$G$20,0))&lt;$D$6/OPDAYS_Cls1),86,payback(F52,W52,disc_rate/12,85))</f>
        <v>86</v>
      </c>
      <c r="AC52" s="693">
        <f ca="1">IF(AND(AC$22=TRUE,INDEX(CDRANGE_CLS1,MATCH($A52,$A$24:$A$67,0),MATCH(AC$20,$B$20:$G$20,0))&lt;$D$6/OPDAYS_Cls1),86,payback(G52,X52,disc_rate/12,85))</f>
        <v>86</v>
      </c>
      <c r="AD52" s="328">
        <f t="shared" si="35"/>
        <v>0.14463762235265018</v>
      </c>
      <c r="AE52" s="329">
        <f t="shared" si="36"/>
        <v>7.6866596697936454E-2</v>
      </c>
      <c r="AF52" s="329">
        <f t="shared" si="37"/>
        <v>0</v>
      </c>
      <c r="AG52" s="329">
        <f t="shared" si="38"/>
        <v>0</v>
      </c>
      <c r="AH52" s="330">
        <f t="shared" si="39"/>
        <v>0</v>
      </c>
      <c r="AI52" s="1253">
        <f t="shared" si="40"/>
        <v>0.49999164928907602</v>
      </c>
      <c r="AJ52" s="1254">
        <f t="shared" si="41"/>
        <v>0.49999164928907602</v>
      </c>
      <c r="AK52" s="1254">
        <f t="shared" si="42"/>
        <v>0.49999164928907602</v>
      </c>
      <c r="AL52" s="1254">
        <f t="shared" si="43"/>
        <v>0.49999164928907602</v>
      </c>
      <c r="AM52" s="1260">
        <f t="shared" si="44"/>
        <v>3.063803101141209E-3</v>
      </c>
      <c r="AN52" s="331">
        <f t="shared" si="66"/>
        <v>0.9981966753922622</v>
      </c>
      <c r="AO52" s="332">
        <f t="shared" si="67"/>
        <v>0.99789509454064651</v>
      </c>
      <c r="AP52" s="332">
        <f t="shared" si="68"/>
        <v>0.9747523729379316</v>
      </c>
      <c r="AQ52" s="332">
        <f t="shared" si="69"/>
        <v>0.80935637775633329</v>
      </c>
      <c r="AR52" s="699">
        <f t="shared" si="70"/>
        <v>0.97530326844915805</v>
      </c>
      <c r="AS52" s="328">
        <f t="shared" ca="1" si="46"/>
        <v>0.99998329857815205</v>
      </c>
      <c r="AT52" s="329">
        <f t="shared" ca="1" si="47"/>
        <v>0.99998329857815205</v>
      </c>
      <c r="AU52" s="329">
        <f t="shared" ca="1" si="48"/>
        <v>0.97657886117638371</v>
      </c>
      <c r="AV52" s="329">
        <f t="shared" ca="1" si="49"/>
        <v>0</v>
      </c>
      <c r="AW52" s="330">
        <f t="shared" ca="1" si="50"/>
        <v>0</v>
      </c>
      <c r="AX52" s="328">
        <f t="shared" ca="1" si="51"/>
        <v>0.99818000408849927</v>
      </c>
      <c r="AY52" s="329">
        <f t="shared" ca="1" si="52"/>
        <v>0.99787842827371254</v>
      </c>
      <c r="AZ52" s="329">
        <f t="shared" ca="1" si="53"/>
        <v>0.95192256229270289</v>
      </c>
      <c r="BA52" s="329">
        <f t="shared" ca="1" si="71"/>
        <v>0</v>
      </c>
      <c r="BB52" s="330">
        <f t="shared" ca="1" si="72"/>
        <v>0</v>
      </c>
      <c r="BC52" s="328">
        <f t="shared" ca="1" si="73"/>
        <v>1.8199959115007269E-3</v>
      </c>
      <c r="BD52" s="329">
        <f t="shared" ca="1" si="56"/>
        <v>0.33798159566450969</v>
      </c>
      <c r="BE52" s="329">
        <f t="shared" ca="1" si="57"/>
        <v>0.33787948274431695</v>
      </c>
      <c r="BF52" s="329">
        <f t="shared" ca="1" si="58"/>
        <v>0.32231892567967269</v>
      </c>
      <c r="BG52" s="329">
        <f t="shared" ca="1" si="59"/>
        <v>0</v>
      </c>
      <c r="BH52" s="330">
        <f t="shared" ca="1" si="60"/>
        <v>0</v>
      </c>
    </row>
    <row r="53" spans="1:60" x14ac:dyDescent="0.2">
      <c r="A53" s="334">
        <v>2036</v>
      </c>
      <c r="B53" s="931">
        <f t="shared" si="76"/>
        <v>162352.82999999999</v>
      </c>
      <c r="C53" s="932">
        <f t="shared" si="76"/>
        <v>4138.51</v>
      </c>
      <c r="D53" s="932">
        <f t="shared" si="76"/>
        <v>4471.53</v>
      </c>
      <c r="E53" s="932">
        <f t="shared" si="76"/>
        <v>15895.03</v>
      </c>
      <c r="F53" s="932">
        <f t="shared" si="76"/>
        <v>44263.41</v>
      </c>
      <c r="G53" s="933">
        <f t="shared" si="76"/>
        <v>14926.4</v>
      </c>
      <c r="H53" s="886">
        <f t="shared" si="77"/>
        <v>1</v>
      </c>
      <c r="I53" s="887">
        <f t="shared" si="77"/>
        <v>1</v>
      </c>
      <c r="J53" s="887">
        <f t="shared" si="77"/>
        <v>1</v>
      </c>
      <c r="K53" s="887">
        <f t="shared" si="77"/>
        <v>1</v>
      </c>
      <c r="L53" s="887">
        <f t="shared" si="77"/>
        <v>0.69703923241526888</v>
      </c>
      <c r="M53" s="888">
        <f t="shared" si="77"/>
        <v>1</v>
      </c>
      <c r="N53" s="293">
        <f t="shared" si="28"/>
        <v>8969.3966583484089</v>
      </c>
      <c r="O53" s="294">
        <f t="shared" si="29"/>
        <v>7734.7956911817319</v>
      </c>
      <c r="P53" s="294">
        <f t="shared" si="30"/>
        <v>7689.5099149144062</v>
      </c>
      <c r="Q53" s="294">
        <f t="shared" si="31"/>
        <v>7013.7486157088952</v>
      </c>
      <c r="R53" s="294">
        <f t="shared" si="32"/>
        <v>8205.0102240248561</v>
      </c>
      <c r="S53" s="296">
        <f t="shared" si="33"/>
        <v>8968.0568006128215</v>
      </c>
      <c r="T53" s="833">
        <f t="shared" si="61"/>
        <v>1234.600967166677</v>
      </c>
      <c r="U53" s="294">
        <f t="shared" si="62"/>
        <v>1279.8867434340027</v>
      </c>
      <c r="V53" s="294">
        <f t="shared" si="63"/>
        <v>1955.6480426395137</v>
      </c>
      <c r="W53" s="294">
        <f t="shared" si="64"/>
        <v>764.38643432355275</v>
      </c>
      <c r="X53" s="295">
        <f t="shared" si="65"/>
        <v>1.3398577355874295</v>
      </c>
      <c r="Y53" s="297">
        <f ca="1">IF(AND(Y$22=TRUE,INDEX(CDRANGE_CLS1,MATCH($A53,$A$24:$A$67,0),MATCH(Y$20,$B$20:$G$20,0))&lt;$D$6/OPDAYS_Cls1),86,payback(C53,T53,disc_rate/12,85))</f>
        <v>4</v>
      </c>
      <c r="Z53" s="298">
        <f ca="1">IF(AND(Z$22=TRUE,INDEX(CDRANGE_CLS1,MATCH($A53,$A$24:$A$67,0),MATCH(Z$20,$B$20:$G$20,0))&lt;$D$6/OPDAYS_Cls1),86,payback(D53,U53,disc_rate/12,85))</f>
        <v>4</v>
      </c>
      <c r="AA53" s="298">
        <f ca="1">IF(AND(AA$22=TRUE,INDEX(CDRANGE_CLS1,MATCH($A53,$A$24:$A$67,0),MATCH(AA$20,$B$20:$G$20,0))&lt;$D$6/OPDAYS_Cls1),86,payback(E53,V53,disc_rate/12,85))</f>
        <v>9</v>
      </c>
      <c r="AB53" s="298">
        <f ca="1">IF(AND(AB$22=TRUE,INDEX(CDRANGE_CLS1,MATCH($A53,$A$24:$A$67,0),MATCH(AB$20,$B$20:$G$20,0))&lt;$D$6/OPDAYS_Cls1),86,payback(F53,W53,disc_rate/12,85))</f>
        <v>73</v>
      </c>
      <c r="AC53" s="710">
        <f ca="1">IF(AND(AC$22=TRUE,INDEX(CDRANGE_CLS1,MATCH($A53,$A$24:$A$67,0),MATCH(AC$20,$B$20:$G$20,0))&lt;$D$6/OPDAYS_Cls1),86,payback(G53,X53,disc_rate/12,85))</f>
        <v>86</v>
      </c>
      <c r="AD53" s="300">
        <f t="shared" si="35"/>
        <v>0.14463914935329347</v>
      </c>
      <c r="AE53" s="301">
        <f t="shared" si="36"/>
        <v>7.686740821115616E-2</v>
      </c>
      <c r="AF53" s="301">
        <f t="shared" si="37"/>
        <v>0</v>
      </c>
      <c r="AG53" s="301">
        <f t="shared" si="38"/>
        <v>0</v>
      </c>
      <c r="AH53" s="302">
        <f t="shared" si="39"/>
        <v>0</v>
      </c>
      <c r="AI53" s="1247">
        <f t="shared" si="40"/>
        <v>0.4999969279126989</v>
      </c>
      <c r="AJ53" s="1248">
        <f t="shared" si="41"/>
        <v>0.4999969279126989</v>
      </c>
      <c r="AK53" s="1248">
        <f t="shared" si="42"/>
        <v>0.4999969279126989</v>
      </c>
      <c r="AL53" s="1248">
        <f t="shared" si="43"/>
        <v>0.4999969279126989</v>
      </c>
      <c r="AM53" s="1261">
        <f t="shared" si="44"/>
        <v>5.21545598989625E-3</v>
      </c>
      <c r="AN53" s="303">
        <f t="shared" si="66"/>
        <v>0.9981966753922622</v>
      </c>
      <c r="AO53" s="304">
        <f t="shared" si="67"/>
        <v>0.99789509454064651</v>
      </c>
      <c r="AP53" s="304">
        <f t="shared" si="68"/>
        <v>0.9737256721318307</v>
      </c>
      <c r="AQ53" s="304">
        <f t="shared" si="69"/>
        <v>0.81344658395560621</v>
      </c>
      <c r="AR53" s="711">
        <f t="shared" si="70"/>
        <v>0.97679404733431618</v>
      </c>
      <c r="AS53" s="300">
        <f t="shared" ca="1" si="46"/>
        <v>0.99999385582539779</v>
      </c>
      <c r="AT53" s="301">
        <f t="shared" ca="1" si="47"/>
        <v>0.99999385582539779</v>
      </c>
      <c r="AU53" s="301">
        <f t="shared" ca="1" si="48"/>
        <v>0.97658917133307033</v>
      </c>
      <c r="AV53" s="301">
        <f t="shared" ca="1" si="49"/>
        <v>1.7523452409300099E-3</v>
      </c>
      <c r="AW53" s="302">
        <f t="shared" ca="1" si="50"/>
        <v>0</v>
      </c>
      <c r="AX53" s="300">
        <f t="shared" ca="1" si="51"/>
        <v>0.99819054229760129</v>
      </c>
      <c r="AY53" s="301">
        <f t="shared" ca="1" si="52"/>
        <v>0.99788896329895094</v>
      </c>
      <c r="AZ53" s="301">
        <f t="shared" ca="1" si="53"/>
        <v>0.95092994725296143</v>
      </c>
      <c r="BA53" s="301">
        <f t="shared" ca="1" si="71"/>
        <v>1.4254392501453802E-3</v>
      </c>
      <c r="BB53" s="302">
        <f t="shared" ca="1" si="72"/>
        <v>0</v>
      </c>
      <c r="BC53" s="300">
        <f t="shared" ca="1" si="73"/>
        <v>1.8094577023987091E-3</v>
      </c>
      <c r="BD53" s="301">
        <f t="shared" ca="1" si="56"/>
        <v>0.33793670038371698</v>
      </c>
      <c r="BE53" s="301">
        <f t="shared" ca="1" si="57"/>
        <v>0.33783460102754159</v>
      </c>
      <c r="BF53" s="301">
        <f t="shared" ca="1" si="58"/>
        <v>0.32193665943883393</v>
      </c>
      <c r="BG53" s="301">
        <f t="shared" ca="1" si="59"/>
        <v>4.8258144750879911E-4</v>
      </c>
      <c r="BH53" s="302">
        <f t="shared" ca="1" si="60"/>
        <v>0</v>
      </c>
    </row>
    <row r="54" spans="1:60" x14ac:dyDescent="0.2">
      <c r="A54" s="335">
        <v>2037</v>
      </c>
      <c r="B54" s="925">
        <f t="shared" ref="B54:G67" si="78">ROUND(INDEX(COST_Cls1,$A54-($A$24-1),MATCH(B$20,TECHOPTS_Cls1,0)),2)</f>
        <v>162352.82999999999</v>
      </c>
      <c r="C54" s="926">
        <f t="shared" si="78"/>
        <v>4138.51</v>
      </c>
      <c r="D54" s="926">
        <f t="shared" si="78"/>
        <v>4471.53</v>
      </c>
      <c r="E54" s="926">
        <f t="shared" si="78"/>
        <v>16212.77</v>
      </c>
      <c r="F54" s="926">
        <f t="shared" si="78"/>
        <v>43726.33</v>
      </c>
      <c r="G54" s="927">
        <f t="shared" si="78"/>
        <v>14448.56</v>
      </c>
      <c r="H54" s="886">
        <f t="shared" ref="H54:M67" si="79">IF(H$21="Single-fuel",1,1-MIN(INDEX(CDRANGE_CLS1,$A54-($A$24-1),MATCH(H$20,TECHOPTS_Cls1,0))*OPDAYS_Cls1/$D$6,1))</f>
        <v>1</v>
      </c>
      <c r="I54" s="887">
        <f t="shared" si="79"/>
        <v>1</v>
      </c>
      <c r="J54" s="887">
        <f t="shared" si="79"/>
        <v>1</v>
      </c>
      <c r="K54" s="887">
        <f t="shared" si="79"/>
        <v>1</v>
      </c>
      <c r="L54" s="887">
        <f t="shared" si="79"/>
        <v>0.69684614958207414</v>
      </c>
      <c r="M54" s="888">
        <f t="shared" si="79"/>
        <v>1</v>
      </c>
      <c r="N54" s="293">
        <f t="shared" si="28"/>
        <v>8950.0465576656225</v>
      </c>
      <c r="O54" s="294">
        <f t="shared" si="29"/>
        <v>7718.1090531517521</v>
      </c>
      <c r="P54" s="294">
        <f t="shared" si="30"/>
        <v>7672.9209740165388</v>
      </c>
      <c r="Q54" s="294">
        <f t="shared" si="31"/>
        <v>6959.2415694605388</v>
      </c>
      <c r="R54" s="294">
        <f t="shared" si="32"/>
        <v>8137.8965598611203</v>
      </c>
      <c r="S54" s="296">
        <f t="shared" si="33"/>
        <v>8666.0044628992837</v>
      </c>
      <c r="T54" s="834">
        <f t="shared" si="61"/>
        <v>1231.9375045138704</v>
      </c>
      <c r="U54" s="308">
        <f t="shared" si="62"/>
        <v>1277.1255836490836</v>
      </c>
      <c r="V54" s="308">
        <f t="shared" si="63"/>
        <v>1990.8049882050836</v>
      </c>
      <c r="W54" s="308">
        <f t="shared" si="64"/>
        <v>812.14999780450216</v>
      </c>
      <c r="X54" s="309">
        <f t="shared" si="65"/>
        <v>284.04209476633878</v>
      </c>
      <c r="Y54" s="311">
        <f ca="1">IF(AND(Y$22=TRUE,INDEX(CDRANGE_CLS1,MATCH($A54,$A$24:$A$67,0),MATCH(Y$20,$B$20:$G$20,0))&lt;$D$6/OPDAYS_Cls1),86,payback(C54,T54,disc_rate/12,85))</f>
        <v>4</v>
      </c>
      <c r="Z54" s="312">
        <f ca="1">IF(AND(Z$22=TRUE,INDEX(CDRANGE_CLS1,MATCH($A54,$A$24:$A$67,0),MATCH(Z$20,$B$20:$G$20,0))&lt;$D$6/OPDAYS_Cls1),86,payback(D54,U54,disc_rate/12,85))</f>
        <v>4</v>
      </c>
      <c r="AA54" s="312">
        <f ca="1">IF(AND(AA$22=TRUE,INDEX(CDRANGE_CLS1,MATCH($A54,$A$24:$A$67,0),MATCH(AA$20,$B$20:$G$20,0))&lt;$D$6/OPDAYS_Cls1),86,payback(E54,V54,disc_rate/12,85))</f>
        <v>9</v>
      </c>
      <c r="AB54" s="312">
        <f ca="1">IF(AND(AB$22=TRUE,INDEX(CDRANGE_CLS1,MATCH($A54,$A$24:$A$67,0),MATCH(AB$20,$B$20:$G$20,0))&lt;$D$6/OPDAYS_Cls1),86,payback(F54,W54,disc_rate/12,85))</f>
        <v>66</v>
      </c>
      <c r="AC54" s="692">
        <f ca="1">IF(AND(AC$22=TRUE,INDEX(CDRANGE_CLS1,MATCH($A54,$A$24:$A$67,0),MATCH(AC$20,$B$20:$G$20,0))&lt;$D$6/OPDAYS_Cls1),86,payback(G54,X54,disc_rate/12,85))</f>
        <v>62</v>
      </c>
      <c r="AD54" s="314">
        <f t="shared" si="35"/>
        <v>0.14463971111354926</v>
      </c>
      <c r="AE54" s="315">
        <f t="shared" si="36"/>
        <v>7.6867706754497236E-2</v>
      </c>
      <c r="AF54" s="315">
        <f t="shared" si="37"/>
        <v>0</v>
      </c>
      <c r="AG54" s="315">
        <f t="shared" si="38"/>
        <v>0</v>
      </c>
      <c r="AH54" s="316">
        <f t="shared" si="39"/>
        <v>0</v>
      </c>
      <c r="AI54" s="1250">
        <f t="shared" si="40"/>
        <v>0.49999886983785102</v>
      </c>
      <c r="AJ54" s="1251">
        <f t="shared" si="41"/>
        <v>0.49999886983785102</v>
      </c>
      <c r="AK54" s="1251">
        <f t="shared" si="42"/>
        <v>0.49999886983785102</v>
      </c>
      <c r="AL54" s="1251">
        <f t="shared" si="43"/>
        <v>0.49999886983785102</v>
      </c>
      <c r="AM54" s="1259">
        <f t="shared" si="44"/>
        <v>8.3279266410674832E-3</v>
      </c>
      <c r="AN54" s="317">
        <f t="shared" si="66"/>
        <v>0.9981966753922622</v>
      </c>
      <c r="AO54" s="318">
        <f t="shared" si="67"/>
        <v>0.99789509454064651</v>
      </c>
      <c r="AP54" s="318">
        <f t="shared" si="68"/>
        <v>0.97267935486328039</v>
      </c>
      <c r="AQ54" s="318">
        <f t="shared" si="69"/>
        <v>0.81750783389145409</v>
      </c>
      <c r="AR54" s="698">
        <f t="shared" si="70"/>
        <v>0.97824002576349955</v>
      </c>
      <c r="AS54" s="314">
        <f t="shared" ca="1" si="46"/>
        <v>0.99999773967570205</v>
      </c>
      <c r="AT54" s="315">
        <f t="shared" ca="1" si="47"/>
        <v>0.99999773967570205</v>
      </c>
      <c r="AU54" s="315">
        <f t="shared" ca="1" si="48"/>
        <v>0.97659296428252507</v>
      </c>
      <c r="AV54" s="315">
        <f t="shared" ca="1" si="49"/>
        <v>5.4975111541463815E-3</v>
      </c>
      <c r="AW54" s="316">
        <f t="shared" ca="1" si="50"/>
        <v>1.681317246374297E-4</v>
      </c>
      <c r="AX54" s="314">
        <f t="shared" ca="1" si="51"/>
        <v>0.99819441914406271</v>
      </c>
      <c r="AY54" s="315">
        <f t="shared" ca="1" si="52"/>
        <v>0.99789283897411751</v>
      </c>
      <c r="AZ54" s="315">
        <f t="shared" ca="1" si="53"/>
        <v>0.94991181446234507</v>
      </c>
      <c r="BA54" s="315">
        <f t="shared" ca="1" si="71"/>
        <v>4.4942584354203162E-3</v>
      </c>
      <c r="BB54" s="316">
        <f t="shared" ca="1" si="72"/>
        <v>1.6447318264098084E-4</v>
      </c>
      <c r="BC54" s="314">
        <f t="shared" ca="1" si="73"/>
        <v>1.8055808559371833E-3</v>
      </c>
      <c r="BD54" s="315">
        <f t="shared" ca="1" si="56"/>
        <v>0.33770324535761287</v>
      </c>
      <c r="BE54" s="315">
        <f t="shared" ca="1" si="57"/>
        <v>0.3376012165341965</v>
      </c>
      <c r="BF54" s="315">
        <f t="shared" ca="1" si="58"/>
        <v>0.32136855946614479</v>
      </c>
      <c r="BG54" s="315">
        <f t="shared" ca="1" si="59"/>
        <v>1.5204709924332136E-3</v>
      </c>
      <c r="BH54" s="316">
        <f t="shared" ca="1" si="60"/>
        <v>9.2679367532900824E-7</v>
      </c>
    </row>
    <row r="55" spans="1:60" x14ac:dyDescent="0.2">
      <c r="A55" s="335">
        <v>2038</v>
      </c>
      <c r="B55" s="925">
        <f t="shared" si="78"/>
        <v>162352.82999999999</v>
      </c>
      <c r="C55" s="926">
        <f t="shared" si="78"/>
        <v>4138.51</v>
      </c>
      <c r="D55" s="926">
        <f t="shared" si="78"/>
        <v>4471.53</v>
      </c>
      <c r="E55" s="926">
        <f t="shared" si="78"/>
        <v>16530.509999999998</v>
      </c>
      <c r="F55" s="926">
        <f t="shared" si="78"/>
        <v>43189.26</v>
      </c>
      <c r="G55" s="927">
        <f t="shared" si="78"/>
        <v>13970.71</v>
      </c>
      <c r="H55" s="886">
        <f t="shared" si="79"/>
        <v>1</v>
      </c>
      <c r="I55" s="887">
        <f t="shared" si="79"/>
        <v>1</v>
      </c>
      <c r="J55" s="887">
        <f t="shared" si="79"/>
        <v>1</v>
      </c>
      <c r="K55" s="887">
        <f t="shared" si="79"/>
        <v>1</v>
      </c>
      <c r="L55" s="887">
        <f t="shared" si="79"/>
        <v>0.69665306674887928</v>
      </c>
      <c r="M55" s="888">
        <f t="shared" si="79"/>
        <v>1</v>
      </c>
      <c r="N55" s="293">
        <f t="shared" si="28"/>
        <v>9005.469221400228</v>
      </c>
      <c r="O55" s="294">
        <f t="shared" si="29"/>
        <v>7765.9030126539483</v>
      </c>
      <c r="P55" s="294">
        <f t="shared" si="30"/>
        <v>7720.4351088609992</v>
      </c>
      <c r="Q55" s="294">
        <f t="shared" si="31"/>
        <v>6963.1598213258394</v>
      </c>
      <c r="R55" s="294">
        <f t="shared" si="32"/>
        <v>8093.7439108828894</v>
      </c>
      <c r="S55" s="296">
        <f t="shared" si="33"/>
        <v>8387.5928578806488</v>
      </c>
      <c r="T55" s="834">
        <f t="shared" si="61"/>
        <v>1239.5662087462797</v>
      </c>
      <c r="U55" s="308">
        <f t="shared" si="62"/>
        <v>1285.0341125392288</v>
      </c>
      <c r="V55" s="308">
        <f t="shared" si="63"/>
        <v>2042.3094000743886</v>
      </c>
      <c r="W55" s="308">
        <f t="shared" si="64"/>
        <v>911.72531051733858</v>
      </c>
      <c r="X55" s="309">
        <f t="shared" si="65"/>
        <v>617.87636351957917</v>
      </c>
      <c r="Y55" s="311">
        <f ca="1">IF(AND(Y$22=TRUE,INDEX(CDRANGE_CLS1,MATCH($A55,$A$24:$A$67,0),MATCH(Y$20,$B$20:$G$20,0))&lt;$D$6/OPDAYS_Cls1),86,payback(C55,T55,disc_rate/12,85))</f>
        <v>4</v>
      </c>
      <c r="Z55" s="312">
        <f ca="1">IF(AND(Z$22=TRUE,INDEX(CDRANGE_CLS1,MATCH($A55,$A$24:$A$67,0),MATCH(Z$20,$B$20:$G$20,0))&lt;$D$6/OPDAYS_Cls1),86,payback(D55,U55,disc_rate/12,85))</f>
        <v>4</v>
      </c>
      <c r="AA55" s="312">
        <f ca="1">IF(AND(AA$22=TRUE,INDEX(CDRANGE_CLS1,MATCH($A55,$A$24:$A$67,0),MATCH(AA$20,$B$20:$G$20,0))&lt;$D$6/OPDAYS_Cls1),86,payback(E55,V55,disc_rate/12,85))</f>
        <v>9</v>
      </c>
      <c r="AB55" s="312">
        <f ca="1">IF(AND(AB$22=TRUE,INDEX(CDRANGE_CLS1,MATCH($A55,$A$24:$A$67,0),MATCH(AB$20,$B$20:$G$20,0))&lt;$D$6/OPDAYS_Cls1),86,payback(F55,W55,disc_rate/12,85))</f>
        <v>57</v>
      </c>
      <c r="AC55" s="692">
        <f ca="1">IF(AND(AC$22=TRUE,INDEX(CDRANGE_CLS1,MATCH($A55,$A$24:$A$67,0),MATCH(AC$20,$B$20:$G$20,0))&lt;$D$6/OPDAYS_Cls1),86,payback(G55,X55,disc_rate/12,85))</f>
        <v>25</v>
      </c>
      <c r="AD55" s="314">
        <f t="shared" si="35"/>
        <v>0.14463991777469612</v>
      </c>
      <c r="AE55" s="315">
        <f t="shared" si="36"/>
        <v>7.6867816583038193E-2</v>
      </c>
      <c r="AF55" s="315">
        <f t="shared" si="37"/>
        <v>0</v>
      </c>
      <c r="AG55" s="315">
        <f t="shared" si="38"/>
        <v>0</v>
      </c>
      <c r="AH55" s="316">
        <f t="shared" si="39"/>
        <v>0</v>
      </c>
      <c r="AI55" s="1250">
        <f t="shared" si="40"/>
        <v>0.49999958423598612</v>
      </c>
      <c r="AJ55" s="1251">
        <f t="shared" si="41"/>
        <v>0.49999958423598612</v>
      </c>
      <c r="AK55" s="1251">
        <f t="shared" si="42"/>
        <v>0.49999958423598612</v>
      </c>
      <c r="AL55" s="1251">
        <f t="shared" si="43"/>
        <v>0.49999958423598612</v>
      </c>
      <c r="AM55" s="1259">
        <f t="shared" si="44"/>
        <v>1.0317728173388992E-2</v>
      </c>
      <c r="AN55" s="317">
        <f t="shared" si="66"/>
        <v>0.9981966753922622</v>
      </c>
      <c r="AO55" s="318">
        <f t="shared" si="67"/>
        <v>0.99789509454064651</v>
      </c>
      <c r="AP55" s="318">
        <f t="shared" si="68"/>
        <v>0.97161348671596404</v>
      </c>
      <c r="AQ55" s="318">
        <f t="shared" si="69"/>
        <v>0.82153933635994625</v>
      </c>
      <c r="AR55" s="698">
        <f t="shared" si="70"/>
        <v>0.97964102698798738</v>
      </c>
      <c r="AS55" s="314">
        <f t="shared" ca="1" si="46"/>
        <v>0.99999916847197223</v>
      </c>
      <c r="AT55" s="315">
        <f t="shared" ca="1" si="47"/>
        <v>0.99999916847197223</v>
      </c>
      <c r="AU55" s="315">
        <f t="shared" ca="1" si="48"/>
        <v>0.97659435963806396</v>
      </c>
      <c r="AV55" s="315">
        <f t="shared" ca="1" si="49"/>
        <v>2.0574466346482904E-2</v>
      </c>
      <c r="AW55" s="316">
        <f t="shared" ca="1" si="50"/>
        <v>1.0700567963028727E-2</v>
      </c>
      <c r="AX55" s="314">
        <f t="shared" ca="1" si="51"/>
        <v>0.99819584536374939</v>
      </c>
      <c r="AY55" s="315">
        <f t="shared" ca="1" si="52"/>
        <v>0.99789426476290666</v>
      </c>
      <c r="AZ55" s="315">
        <f t="shared" ca="1" si="53"/>
        <v>0.94887225087508342</v>
      </c>
      <c r="BA55" s="315">
        <f t="shared" ca="1" si="71"/>
        <v>1.6902733428249613E-2</v>
      </c>
      <c r="BB55" s="316">
        <f t="shared" ca="1" si="72"/>
        <v>1.0482715388656218E-2</v>
      </c>
      <c r="BC55" s="314">
        <f t="shared" ca="1" si="73"/>
        <v>1.804154636250721E-3</v>
      </c>
      <c r="BD55" s="315">
        <f t="shared" ca="1" si="56"/>
        <v>0.33638337631832405</v>
      </c>
      <c r="BE55" s="315">
        <f t="shared" ca="1" si="57"/>
        <v>0.3362817462612418</v>
      </c>
      <c r="BF55" s="315">
        <f t="shared" ca="1" si="58"/>
        <v>0.31976175108985277</v>
      </c>
      <c r="BG55" s="315">
        <f t="shared" ca="1" si="59"/>
        <v>5.6960751399754246E-3</v>
      </c>
      <c r="BH55" s="316">
        <f t="shared" ca="1" si="60"/>
        <v>7.2896554355289078E-5</v>
      </c>
    </row>
    <row r="56" spans="1:60" x14ac:dyDescent="0.2">
      <c r="A56" s="335">
        <v>2039</v>
      </c>
      <c r="B56" s="925">
        <f t="shared" si="78"/>
        <v>162352.82999999999</v>
      </c>
      <c r="C56" s="926">
        <f t="shared" si="78"/>
        <v>4138.51</v>
      </c>
      <c r="D56" s="926">
        <f t="shared" si="78"/>
        <v>4471.53</v>
      </c>
      <c r="E56" s="926">
        <f t="shared" si="78"/>
        <v>16848.25</v>
      </c>
      <c r="F56" s="926">
        <f t="shared" si="78"/>
        <v>42652.19</v>
      </c>
      <c r="G56" s="927">
        <f t="shared" si="78"/>
        <v>13492.87</v>
      </c>
      <c r="H56" s="886">
        <f t="shared" si="79"/>
        <v>1</v>
      </c>
      <c r="I56" s="887">
        <f t="shared" si="79"/>
        <v>1</v>
      </c>
      <c r="J56" s="887">
        <f t="shared" si="79"/>
        <v>1</v>
      </c>
      <c r="K56" s="887">
        <f t="shared" si="79"/>
        <v>1</v>
      </c>
      <c r="L56" s="887">
        <f t="shared" si="79"/>
        <v>0.69645998391568442</v>
      </c>
      <c r="M56" s="888">
        <f t="shared" si="79"/>
        <v>1</v>
      </c>
      <c r="N56" s="293">
        <f t="shared" si="28"/>
        <v>9054.4677913612868</v>
      </c>
      <c r="O56" s="294">
        <f t="shared" si="29"/>
        <v>7808.1571287606457</v>
      </c>
      <c r="P56" s="294">
        <f t="shared" si="30"/>
        <v>7762.4418350527212</v>
      </c>
      <c r="Q56" s="294">
        <f t="shared" si="31"/>
        <v>6962.094906655966</v>
      </c>
      <c r="R56" s="294">
        <f t="shared" si="32"/>
        <v>8025.0535088153156</v>
      </c>
      <c r="S56" s="296">
        <f t="shared" si="33"/>
        <v>8096.2006152163876</v>
      </c>
      <c r="T56" s="834">
        <f t="shared" si="61"/>
        <v>1246.3106626006411</v>
      </c>
      <c r="U56" s="308">
        <f t="shared" si="62"/>
        <v>1292.0259563085656</v>
      </c>
      <c r="V56" s="308">
        <f t="shared" si="63"/>
        <v>2092.3728847053208</v>
      </c>
      <c r="W56" s="308">
        <f t="shared" si="64"/>
        <v>1029.4142825459712</v>
      </c>
      <c r="X56" s="309">
        <f t="shared" si="65"/>
        <v>958.26717614489917</v>
      </c>
      <c r="Y56" s="311">
        <f ca="1">IF(AND(Y$22=TRUE,INDEX(CDRANGE_CLS1,MATCH($A56,$A$24:$A$67,0),MATCH(Y$20,$B$20:$G$20,0))&lt;$D$6/OPDAYS_Cls1),86,payback(C56,T56,disc_rate/12,85))</f>
        <v>4</v>
      </c>
      <c r="Z56" s="312">
        <f ca="1">IF(AND(Z$22=TRUE,INDEX(CDRANGE_CLS1,MATCH($A56,$A$24:$A$67,0),MATCH(Z$20,$B$20:$G$20,0))&lt;$D$6/OPDAYS_Cls1),86,payback(D56,U56,disc_rate/12,85))</f>
        <v>4</v>
      </c>
      <c r="AA56" s="312">
        <f ca="1">IF(AND(AA$22=TRUE,INDEX(CDRANGE_CLS1,MATCH($A56,$A$24:$A$67,0),MATCH(AA$20,$B$20:$G$20,0))&lt;$D$6/OPDAYS_Cls1),86,payback(E56,V56,disc_rate/12,85))</f>
        <v>9</v>
      </c>
      <c r="AB56" s="312">
        <f ca="1">IF(AND(AB$22=TRUE,INDEX(CDRANGE_CLS1,MATCH($A56,$A$24:$A$67,0),MATCH(AB$20,$B$20:$G$20,0))&lt;$D$6/OPDAYS_Cls1),86,payback(F56,W56,disc_rate/12,85))</f>
        <v>49</v>
      </c>
      <c r="AC56" s="692">
        <f ca="1">IF(AND(AC$22=TRUE,INDEX(CDRANGE_CLS1,MATCH($A56,$A$24:$A$67,0),MATCH(AC$20,$B$20:$G$20,0))&lt;$D$6/OPDAYS_Cls1),86,payback(G56,X56,disc_rate/12,85))</f>
        <v>15</v>
      </c>
      <c r="AD56" s="314">
        <f t="shared" si="35"/>
        <v>0.14463999380123194</v>
      </c>
      <c r="AE56" s="315">
        <f t="shared" si="36"/>
        <v>7.6867856986779434E-2</v>
      </c>
      <c r="AF56" s="315">
        <f t="shared" si="37"/>
        <v>0</v>
      </c>
      <c r="AG56" s="315">
        <f t="shared" si="38"/>
        <v>0</v>
      </c>
      <c r="AH56" s="316">
        <f t="shared" si="39"/>
        <v>0</v>
      </c>
      <c r="AI56" s="1250">
        <f t="shared" si="40"/>
        <v>0.4999998470488865</v>
      </c>
      <c r="AJ56" s="1251">
        <f t="shared" si="41"/>
        <v>0.4999998470488865</v>
      </c>
      <c r="AK56" s="1251">
        <f t="shared" si="42"/>
        <v>0.4999998470488865</v>
      </c>
      <c r="AL56" s="1251">
        <f t="shared" si="43"/>
        <v>0.4999998470488865</v>
      </c>
      <c r="AM56" s="1259">
        <f t="shared" si="44"/>
        <v>1.5318900392023009E-2</v>
      </c>
      <c r="AN56" s="317">
        <f t="shared" si="66"/>
        <v>0.9981966753922622</v>
      </c>
      <c r="AO56" s="318">
        <f t="shared" si="67"/>
        <v>0.99789509454064651</v>
      </c>
      <c r="AP56" s="318">
        <f t="shared" si="68"/>
        <v>0.97052813444977337</v>
      </c>
      <c r="AQ56" s="318">
        <f t="shared" si="69"/>
        <v>0.82554052954050694</v>
      </c>
      <c r="AR56" s="698">
        <f t="shared" si="70"/>
        <v>0.98099679297436793</v>
      </c>
      <c r="AS56" s="314">
        <f t="shared" ca="1" si="46"/>
        <v>0.99999969409777301</v>
      </c>
      <c r="AT56" s="315">
        <f t="shared" ca="1" si="47"/>
        <v>0.99999969409777301</v>
      </c>
      <c r="AU56" s="315">
        <f t="shared" ca="1" si="48"/>
        <v>0.97659487296168312</v>
      </c>
      <c r="AV56" s="315">
        <f t="shared" ca="1" si="49"/>
        <v>5.7458665318506082E-2</v>
      </c>
      <c r="AW56" s="316">
        <f t="shared" ca="1" si="50"/>
        <v>2.581955356941858E-2</v>
      </c>
      <c r="AX56" s="314">
        <f t="shared" ca="1" si="51"/>
        <v>0.99819637004167627</v>
      </c>
      <c r="AY56" s="315">
        <f t="shared" ca="1" si="52"/>
        <v>0.99789478928231479</v>
      </c>
      <c r="AZ56" s="315">
        <f t="shared" ca="1" si="53"/>
        <v>0.94781280016871572</v>
      </c>
      <c r="BA56" s="315">
        <f t="shared" ca="1" si="71"/>
        <v>4.7434456993730272E-2</v>
      </c>
      <c r="BB56" s="316">
        <f t="shared" ca="1" si="72"/>
        <v>2.5328899247629523E-2</v>
      </c>
      <c r="BC56" s="314">
        <f t="shared" ca="1" si="73"/>
        <v>1.8036299583236159E-3</v>
      </c>
      <c r="BD56" s="315">
        <f t="shared" ca="1" si="56"/>
        <v>0.33300731427445129</v>
      </c>
      <c r="BE56" s="315">
        <f t="shared" ca="1" si="57"/>
        <v>0.33290670421241753</v>
      </c>
      <c r="BF56" s="315">
        <f t="shared" ca="1" si="58"/>
        <v>0.31619890082945629</v>
      </c>
      <c r="BG56" s="315">
        <f t="shared" ca="1" si="59"/>
        <v>1.5824562783061987E-2</v>
      </c>
      <c r="BH56" s="316">
        <f t="shared" ca="1" si="60"/>
        <v>2.5888794228926215E-4</v>
      </c>
    </row>
    <row r="57" spans="1:60" ht="13.5" thickBot="1" x14ac:dyDescent="0.25">
      <c r="A57" s="718">
        <v>2040</v>
      </c>
      <c r="B57" s="919">
        <f t="shared" si="78"/>
        <v>162352.82999999999</v>
      </c>
      <c r="C57" s="920">
        <f t="shared" si="78"/>
        <v>4138.51</v>
      </c>
      <c r="D57" s="920">
        <f t="shared" si="78"/>
        <v>4471.53</v>
      </c>
      <c r="E57" s="920">
        <f t="shared" si="78"/>
        <v>17166</v>
      </c>
      <c r="F57" s="920">
        <f t="shared" si="78"/>
        <v>42115.12</v>
      </c>
      <c r="G57" s="921">
        <f t="shared" si="78"/>
        <v>13015.03</v>
      </c>
      <c r="H57" s="886">
        <f t="shared" si="79"/>
        <v>1</v>
      </c>
      <c r="I57" s="887">
        <f t="shared" si="79"/>
        <v>1</v>
      </c>
      <c r="J57" s="887">
        <f t="shared" si="79"/>
        <v>1</v>
      </c>
      <c r="K57" s="887">
        <f t="shared" si="79"/>
        <v>1</v>
      </c>
      <c r="L57" s="887">
        <f t="shared" si="79"/>
        <v>0.69626690108248956</v>
      </c>
      <c r="M57" s="888">
        <f t="shared" si="79"/>
        <v>1</v>
      </c>
      <c r="N57" s="880">
        <f t="shared" si="28"/>
        <v>9097.0965630200444</v>
      </c>
      <c r="O57" s="881">
        <f t="shared" si="29"/>
        <v>7844.9182233923138</v>
      </c>
      <c r="P57" s="881">
        <f t="shared" si="30"/>
        <v>7798.9877003786269</v>
      </c>
      <c r="Q57" s="881">
        <f t="shared" si="31"/>
        <v>6956.1710564281111</v>
      </c>
      <c r="R57" s="881">
        <f t="shared" si="32"/>
        <v>7918.8042938541648</v>
      </c>
      <c r="S57" s="882">
        <f t="shared" si="33"/>
        <v>7845.6683869193885</v>
      </c>
      <c r="T57" s="835">
        <f t="shared" si="61"/>
        <v>1252.1783396277306</v>
      </c>
      <c r="U57" s="719">
        <f t="shared" si="62"/>
        <v>1298.1088626414175</v>
      </c>
      <c r="V57" s="719">
        <f t="shared" si="63"/>
        <v>2140.9255065919333</v>
      </c>
      <c r="W57" s="719">
        <f t="shared" si="64"/>
        <v>1178.2922691658796</v>
      </c>
      <c r="X57" s="720">
        <f t="shared" si="65"/>
        <v>1251.4281761006559</v>
      </c>
      <c r="Y57" s="721">
        <f ca="1">IF(AND(Y$22=TRUE,INDEX(CDRANGE_CLS1,MATCH($A57,$A$24:$A$67,0),MATCH(Y$20,$B$20:$G$20,0))&lt;$D$6/OPDAYS_Cls1),86,payback(C57,T57,disc_rate/12,85))</f>
        <v>4</v>
      </c>
      <c r="Z57" s="722">
        <f ca="1">IF(AND(Z$22=TRUE,INDEX(CDRANGE_CLS1,MATCH($A57,$A$24:$A$67,0),MATCH(Z$20,$B$20:$G$20,0))&lt;$D$6/OPDAYS_Cls1),86,payback(D57,U57,disc_rate/12,85))</f>
        <v>4</v>
      </c>
      <c r="AA57" s="722">
        <f ca="1">IF(AND(AA$22=TRUE,INDEX(CDRANGE_CLS1,MATCH($A57,$A$24:$A$67,0),MATCH(AA$20,$B$20:$G$20,0))&lt;$D$6/OPDAYS_Cls1),86,payback(E57,V57,disc_rate/12,85))</f>
        <v>9</v>
      </c>
      <c r="AB57" s="722">
        <f ca="1">IF(AND(AB$22=TRUE,INDEX(CDRANGE_CLS1,MATCH($A57,$A$24:$A$67,0),MATCH(AB$20,$B$20:$G$20,0))&lt;$D$6/OPDAYS_Cls1),86,payback(F57,W57,disc_rate/12,85))</f>
        <v>41</v>
      </c>
      <c r="AC57" s="723">
        <f ca="1">IF(AND(AC$22=TRUE,INDEX(CDRANGE_CLS1,MATCH($A57,$A$24:$A$67,0),MATCH(AC$20,$B$20:$G$20,0))&lt;$D$6/OPDAYS_Cls1),86,payback(G57,X57,disc_rate/12,85))</f>
        <v>11</v>
      </c>
      <c r="AD57" s="724">
        <f t="shared" si="35"/>
        <v>0.14464002176985158</v>
      </c>
      <c r="AE57" s="725">
        <f t="shared" si="36"/>
        <v>7.6867871850495872E-2</v>
      </c>
      <c r="AF57" s="725">
        <f t="shared" si="37"/>
        <v>0</v>
      </c>
      <c r="AG57" s="725">
        <f t="shared" si="38"/>
        <v>0</v>
      </c>
      <c r="AH57" s="726">
        <f t="shared" si="39"/>
        <v>0</v>
      </c>
      <c r="AI57" s="1262">
        <f t="shared" si="40"/>
        <v>0.49999994373241896</v>
      </c>
      <c r="AJ57" s="1263">
        <f t="shared" si="41"/>
        <v>0.49999994373241896</v>
      </c>
      <c r="AK57" s="1263">
        <f t="shared" si="42"/>
        <v>0.49999994373241896</v>
      </c>
      <c r="AL57" s="1263">
        <f t="shared" si="43"/>
        <v>0.49999994373241896</v>
      </c>
      <c r="AM57" s="1264">
        <f t="shared" si="44"/>
        <v>2.1893484435886634E-2</v>
      </c>
      <c r="AN57" s="730">
        <f t="shared" si="66"/>
        <v>0.9981966753922622</v>
      </c>
      <c r="AO57" s="728">
        <f t="shared" si="67"/>
        <v>0.99789509454064651</v>
      </c>
      <c r="AP57" s="728">
        <f t="shared" si="68"/>
        <v>0.96942333091944188</v>
      </c>
      <c r="AQ57" s="728">
        <f t="shared" si="69"/>
        <v>0.82951077813907703</v>
      </c>
      <c r="AR57" s="729">
        <f t="shared" si="70"/>
        <v>0.98230716037118782</v>
      </c>
      <c r="AS57" s="724">
        <f t="shared" ca="1" si="46"/>
        <v>0.99999988746483792</v>
      </c>
      <c r="AT57" s="725">
        <f t="shared" ca="1" si="47"/>
        <v>0.99999988746483792</v>
      </c>
      <c r="AU57" s="725">
        <f t="shared" ca="1" si="48"/>
        <v>0.97659506180302502</v>
      </c>
      <c r="AV57" s="725">
        <f t="shared" ca="1" si="49"/>
        <v>0.1391558764670168</v>
      </c>
      <c r="AW57" s="726">
        <f t="shared" ca="1" si="50"/>
        <v>4.1261880610977637E-2</v>
      </c>
      <c r="AX57" s="724">
        <f t="shared" ca="1" si="51"/>
        <v>0.99819656306003757</v>
      </c>
      <c r="AY57" s="725">
        <f t="shared" ca="1" si="52"/>
        <v>0.99789498224236028</v>
      </c>
      <c r="AZ57" s="725">
        <f t="shared" ca="1" si="53"/>
        <v>0.94673403777256671</v>
      </c>
      <c r="BA57" s="725">
        <f t="shared" ca="1" si="71"/>
        <v>0.11543129937078038</v>
      </c>
      <c r="BB57" s="726">
        <f t="shared" ca="1" si="72"/>
        <v>4.0531840774544414E-2</v>
      </c>
      <c r="BC57" s="724">
        <f t="shared" ca="1" si="73"/>
        <v>1.8034369399624328E-3</v>
      </c>
      <c r="BD57" s="725">
        <f t="shared" ca="1" si="56"/>
        <v>0.32561636373901576</v>
      </c>
      <c r="BE57" s="725">
        <f t="shared" ca="1" si="57"/>
        <v>0.32551798667295528</v>
      </c>
      <c r="BF57" s="725">
        <f t="shared" ca="1" si="58"/>
        <v>0.30882904852169663</v>
      </c>
      <c r="BG57" s="725">
        <f t="shared" ca="1" si="59"/>
        <v>3.7654226986676746E-2</v>
      </c>
      <c r="BH57" s="726">
        <f t="shared" ca="1" si="60"/>
        <v>5.789371396930815E-4</v>
      </c>
    </row>
    <row r="58" spans="1:60" x14ac:dyDescent="0.2">
      <c r="A58" s="336">
        <v>2041</v>
      </c>
      <c r="B58" s="922">
        <f t="shared" si="78"/>
        <v>162352.82999999999</v>
      </c>
      <c r="C58" s="923">
        <f t="shared" si="78"/>
        <v>4138.51</v>
      </c>
      <c r="D58" s="923">
        <f t="shared" si="78"/>
        <v>4471.53</v>
      </c>
      <c r="E58" s="923">
        <f t="shared" si="78"/>
        <v>17483.740000000002</v>
      </c>
      <c r="F58" s="923">
        <f t="shared" si="78"/>
        <v>41578.050000000003</v>
      </c>
      <c r="G58" s="924">
        <f t="shared" si="78"/>
        <v>12537.19</v>
      </c>
      <c r="H58" s="886">
        <f t="shared" si="79"/>
        <v>1</v>
      </c>
      <c r="I58" s="887">
        <f t="shared" si="79"/>
        <v>1</v>
      </c>
      <c r="J58" s="887">
        <f t="shared" si="79"/>
        <v>1</v>
      </c>
      <c r="K58" s="887">
        <f t="shared" si="79"/>
        <v>1</v>
      </c>
      <c r="L58" s="887">
        <f t="shared" si="79"/>
        <v>0.69607381824929482</v>
      </c>
      <c r="M58" s="888">
        <f t="shared" si="79"/>
        <v>1</v>
      </c>
      <c r="N58" s="731">
        <f t="shared" si="28"/>
        <v>9103.8183267760887</v>
      </c>
      <c r="O58" s="732">
        <f t="shared" si="29"/>
        <v>7850.7147637079897</v>
      </c>
      <c r="P58" s="732">
        <f t="shared" si="30"/>
        <v>7804.7503030392772</v>
      </c>
      <c r="Q58" s="732">
        <f t="shared" si="31"/>
        <v>6923.0068805416113</v>
      </c>
      <c r="R58" s="732">
        <f t="shared" si="32"/>
        <v>7747.3274821127843</v>
      </c>
      <c r="S58" s="846">
        <f t="shared" si="33"/>
        <v>7599.5656288440696</v>
      </c>
      <c r="T58" s="836">
        <f t="shared" si="61"/>
        <v>1253.103563068099</v>
      </c>
      <c r="U58" s="732">
        <f t="shared" si="62"/>
        <v>1299.0680237368115</v>
      </c>
      <c r="V58" s="732">
        <f t="shared" si="63"/>
        <v>2180.8114462344774</v>
      </c>
      <c r="W58" s="732">
        <f t="shared" si="64"/>
        <v>1356.4908446633044</v>
      </c>
      <c r="X58" s="733">
        <f t="shared" si="65"/>
        <v>1504.2526979320191</v>
      </c>
      <c r="Y58" s="734">
        <f ca="1">IF(AND(Y$22=TRUE,INDEX(CDRANGE_CLS1,MATCH($A58,$A$24:$A$67,0),MATCH(Y$20,$B$20:$G$20,0))&lt;$D$6/OPDAYS_Cls1),86,payback(C58,T58,disc_rate/12,85))</f>
        <v>4</v>
      </c>
      <c r="Z58" s="735">
        <f ca="1">IF(AND(Z$22=TRUE,INDEX(CDRANGE_CLS1,MATCH($A58,$A$24:$A$67,0),MATCH(Z$20,$B$20:$G$20,0))&lt;$D$6/OPDAYS_Cls1),86,payback(D58,U58,disc_rate/12,85))</f>
        <v>4</v>
      </c>
      <c r="AA58" s="735">
        <f ca="1">IF(AND(AA$22=TRUE,INDEX(CDRANGE_CLS1,MATCH($A58,$A$24:$A$67,0),MATCH(AA$20,$B$20:$G$20,0))&lt;$D$6/OPDAYS_Cls1),86,payback(E58,V58,disc_rate/12,85))</f>
        <v>9</v>
      </c>
      <c r="AB58" s="735">
        <f ca="1">IF(AND(AB$22=TRUE,INDEX(CDRANGE_CLS1,MATCH($A58,$A$24:$A$67,0),MATCH(AB$20,$B$20:$G$20,0))&lt;$D$6/OPDAYS_Cls1),86,payback(F58,W58,disc_rate/12,85))</f>
        <v>35</v>
      </c>
      <c r="AC58" s="736">
        <f ca="1">IF(AND(AC$22=TRUE,INDEX(CDRANGE_CLS1,MATCH($A58,$A$24:$A$67,0),MATCH(AC$20,$B$20:$G$20,0))&lt;$D$6/OPDAYS_Cls1),86,payback(G58,X58,disc_rate/12,85))</f>
        <v>9</v>
      </c>
      <c r="AD58" s="737">
        <f t="shared" si="35"/>
        <v>0.14464003205893444</v>
      </c>
      <c r="AE58" s="738">
        <f t="shared" si="36"/>
        <v>7.6867877318553005E-2</v>
      </c>
      <c r="AF58" s="738">
        <f t="shared" si="37"/>
        <v>0</v>
      </c>
      <c r="AG58" s="738">
        <f t="shared" si="38"/>
        <v>0</v>
      </c>
      <c r="AH58" s="739">
        <f t="shared" si="39"/>
        <v>0</v>
      </c>
      <c r="AI58" s="1256">
        <f t="shared" si="40"/>
        <v>0.4999999793003122</v>
      </c>
      <c r="AJ58" s="1257">
        <f t="shared" si="41"/>
        <v>0.4999999793003122</v>
      </c>
      <c r="AK58" s="1257">
        <f t="shared" si="42"/>
        <v>0.4999999793003122</v>
      </c>
      <c r="AL58" s="1257">
        <f t="shared" si="43"/>
        <v>0.4999999793003122</v>
      </c>
      <c r="AM58" s="1258">
        <f t="shared" si="44"/>
        <v>3.0293467339131446E-2</v>
      </c>
      <c r="AN58" s="743">
        <f t="shared" si="66"/>
        <v>0.9981966753922622</v>
      </c>
      <c r="AO58" s="741">
        <f t="shared" si="67"/>
        <v>0.99789509454064651</v>
      </c>
      <c r="AP58" s="741">
        <f t="shared" si="68"/>
        <v>0.96829921475725467</v>
      </c>
      <c r="AQ58" s="741">
        <f t="shared" si="69"/>
        <v>0.83344944944423371</v>
      </c>
      <c r="AR58" s="742">
        <f t="shared" si="70"/>
        <v>0.98357194233258871</v>
      </c>
      <c r="AS58" s="737">
        <f t="shared" ca="1" si="46"/>
        <v>0.99999995860062441</v>
      </c>
      <c r="AT58" s="738">
        <f t="shared" ca="1" si="47"/>
        <v>0.99999995860062441</v>
      </c>
      <c r="AU58" s="738">
        <f t="shared" ca="1" si="48"/>
        <v>0.97659513127389064</v>
      </c>
      <c r="AV58" s="738">
        <f t="shared" ca="1" si="49"/>
        <v>0.24516081412306887</v>
      </c>
      <c r="AW58" s="739">
        <f t="shared" ca="1" si="50"/>
        <v>5.9168907875156627E-2</v>
      </c>
      <c r="AX58" s="737">
        <f t="shared" ca="1" si="51"/>
        <v>0.99819663406754311</v>
      </c>
      <c r="AY58" s="738">
        <f t="shared" ca="1" si="52"/>
        <v>0.99789505322841265</v>
      </c>
      <c r="AZ58" s="738">
        <f t="shared" ca="1" si="53"/>
        <v>0.94563629874826638</v>
      </c>
      <c r="BA58" s="738">
        <f t="shared" ca="1" si="71"/>
        <v>0.20432914555617188</v>
      </c>
      <c r="BB58" s="739">
        <f t="shared" ca="1" si="72"/>
        <v>5.8196877644465808E-2</v>
      </c>
      <c r="BC58" s="737">
        <f t="shared" ca="1" si="73"/>
        <v>1.8033659324570017E-3</v>
      </c>
      <c r="BD58" s="738">
        <f t="shared" ca="1" si="56"/>
        <v>0.31635822518131257</v>
      </c>
      <c r="BE58" s="738">
        <f t="shared" ca="1" si="57"/>
        <v>0.31626264523668068</v>
      </c>
      <c r="BF58" s="738">
        <f t="shared" ca="1" si="58"/>
        <v>0.29970029043274088</v>
      </c>
      <c r="BG58" s="738">
        <f t="shared" ca="1" si="59"/>
        <v>6.4757988190722232E-2</v>
      </c>
      <c r="BH58" s="739">
        <f t="shared" ca="1" si="60"/>
        <v>1.1174850260868029E-3</v>
      </c>
    </row>
    <row r="59" spans="1:60" x14ac:dyDescent="0.2">
      <c r="A59" s="335">
        <v>2042</v>
      </c>
      <c r="B59" s="925">
        <f t="shared" si="78"/>
        <v>162352.82999999999</v>
      </c>
      <c r="C59" s="926">
        <f t="shared" si="78"/>
        <v>4138.51</v>
      </c>
      <c r="D59" s="926">
        <f t="shared" si="78"/>
        <v>4471.53</v>
      </c>
      <c r="E59" s="926">
        <f t="shared" si="78"/>
        <v>17801.48</v>
      </c>
      <c r="F59" s="926">
        <f t="shared" si="78"/>
        <v>41040.97</v>
      </c>
      <c r="G59" s="927">
        <f t="shared" si="78"/>
        <v>12059.35</v>
      </c>
      <c r="H59" s="886">
        <f t="shared" si="79"/>
        <v>1</v>
      </c>
      <c r="I59" s="887">
        <f t="shared" si="79"/>
        <v>1</v>
      </c>
      <c r="J59" s="887">
        <f t="shared" si="79"/>
        <v>1</v>
      </c>
      <c r="K59" s="887">
        <f t="shared" si="79"/>
        <v>1</v>
      </c>
      <c r="L59" s="887">
        <f t="shared" si="79"/>
        <v>0.69588073541609996</v>
      </c>
      <c r="M59" s="888">
        <f t="shared" si="79"/>
        <v>1</v>
      </c>
      <c r="N59" s="293">
        <f t="shared" si="28"/>
        <v>9155.6895879464282</v>
      </c>
      <c r="O59" s="294">
        <f t="shared" si="29"/>
        <v>7895.4461567636272</v>
      </c>
      <c r="P59" s="294">
        <f t="shared" si="30"/>
        <v>7849.2198021886088</v>
      </c>
      <c r="Q59" s="294">
        <f t="shared" si="31"/>
        <v>6924.3517637855475</v>
      </c>
      <c r="R59" s="294">
        <f t="shared" si="32"/>
        <v>7553.0870847640672</v>
      </c>
      <c r="S59" s="296">
        <f t="shared" si="33"/>
        <v>7392.8129769180368</v>
      </c>
      <c r="T59" s="834">
        <f t="shared" si="61"/>
        <v>1260.243431182801</v>
      </c>
      <c r="U59" s="308">
        <f t="shared" si="62"/>
        <v>1306.4697857578194</v>
      </c>
      <c r="V59" s="308">
        <f t="shared" si="63"/>
        <v>2231.3378241608807</v>
      </c>
      <c r="W59" s="308">
        <f t="shared" si="64"/>
        <v>1602.602503182361</v>
      </c>
      <c r="X59" s="309">
        <f t="shared" si="65"/>
        <v>1762.8766110283914</v>
      </c>
      <c r="Y59" s="311">
        <f ca="1">IF(AND(Y$22=TRUE,INDEX(CDRANGE_CLS1,MATCH($A59,$A$24:$A$67,0),MATCH(Y$20,$B$20:$G$20,0))&lt;$D$6/OPDAYS_Cls1),86,payback(C59,T59,disc_rate/12,85))</f>
        <v>4</v>
      </c>
      <c r="Z59" s="312">
        <f ca="1">IF(AND(Z$22=TRUE,INDEX(CDRANGE_CLS1,MATCH($A59,$A$24:$A$67,0),MATCH(Z$20,$B$20:$G$20,0))&lt;$D$6/OPDAYS_Cls1),86,payback(D59,U59,disc_rate/12,85))</f>
        <v>4</v>
      </c>
      <c r="AA59" s="312">
        <f ca="1">IF(AND(AA$22=TRUE,INDEX(CDRANGE_CLS1,MATCH($A59,$A$24:$A$67,0),MATCH(AA$20,$B$20:$G$20,0))&lt;$D$6/OPDAYS_Cls1),86,payback(E59,V59,disc_rate/12,85))</f>
        <v>9</v>
      </c>
      <c r="AB59" s="312">
        <f ca="1">IF(AND(AB$22=TRUE,INDEX(CDRANGE_CLS1,MATCH($A59,$A$24:$A$67,0),MATCH(AB$20,$B$20:$G$20,0))&lt;$D$6/OPDAYS_Cls1),86,payback(F59,W59,disc_rate/12,85))</f>
        <v>28</v>
      </c>
      <c r="AC59" s="692">
        <f ca="1">IF(AND(AC$22=TRUE,INDEX(CDRANGE_CLS1,MATCH($A59,$A$24:$A$67,0),MATCH(AC$20,$B$20:$G$20,0))&lt;$D$6/OPDAYS_Cls1),86,payback(G59,X59,disc_rate/12,85))</f>
        <v>8</v>
      </c>
      <c r="AD59" s="314">
        <f t="shared" si="35"/>
        <v>0.14464003584407689</v>
      </c>
      <c r="AE59" s="315">
        <f t="shared" si="36"/>
        <v>7.6867879330139013E-2</v>
      </c>
      <c r="AF59" s="315">
        <f t="shared" si="37"/>
        <v>0</v>
      </c>
      <c r="AG59" s="315">
        <f t="shared" si="38"/>
        <v>0</v>
      </c>
      <c r="AH59" s="316">
        <f t="shared" si="39"/>
        <v>0</v>
      </c>
      <c r="AI59" s="1250">
        <f t="shared" si="40"/>
        <v>0.49999999238501025</v>
      </c>
      <c r="AJ59" s="1251">
        <f t="shared" si="41"/>
        <v>0.49999999238501025</v>
      </c>
      <c r="AK59" s="1251">
        <f t="shared" si="42"/>
        <v>0.49999999238501025</v>
      </c>
      <c r="AL59" s="1251">
        <f t="shared" si="43"/>
        <v>0.49999999238501025</v>
      </c>
      <c r="AM59" s="1259">
        <f t="shared" si="44"/>
        <v>4.0757891831784555E-2</v>
      </c>
      <c r="AN59" s="317">
        <f t="shared" si="66"/>
        <v>0.9981966753922622</v>
      </c>
      <c r="AO59" s="318">
        <f t="shared" si="67"/>
        <v>0.99789509454064651</v>
      </c>
      <c r="AP59" s="318">
        <f t="shared" si="68"/>
        <v>0.96715582174508252</v>
      </c>
      <c r="AQ59" s="318">
        <f t="shared" si="69"/>
        <v>0.8373559859266817</v>
      </c>
      <c r="AR59" s="698">
        <f t="shared" si="70"/>
        <v>0.98479095835319608</v>
      </c>
      <c r="AS59" s="314">
        <f t="shared" ca="1" si="46"/>
        <v>0.9999999847700205</v>
      </c>
      <c r="AT59" s="315">
        <f t="shared" ca="1" si="47"/>
        <v>0.9999999847700205</v>
      </c>
      <c r="AU59" s="315">
        <f t="shared" ca="1" si="48"/>
        <v>0.97659515683079656</v>
      </c>
      <c r="AV59" s="315">
        <f t="shared" ca="1" si="49"/>
        <v>0.42527106468487819</v>
      </c>
      <c r="AW59" s="316">
        <f t="shared" ca="1" si="50"/>
        <v>8.0590576259482516E-2</v>
      </c>
      <c r="AX59" s="314">
        <f t="shared" ca="1" si="51"/>
        <v>0.99819666018974729</v>
      </c>
      <c r="AY59" s="315">
        <f t="shared" ca="1" si="52"/>
        <v>0.9978950793427247</v>
      </c>
      <c r="AZ59" s="315">
        <f t="shared" ca="1" si="53"/>
        <v>0.9445196914169568</v>
      </c>
      <c r="BA59" s="315">
        <f t="shared" ca="1" si="71"/>
        <v>0.35610327165529582</v>
      </c>
      <c r="BB59" s="316">
        <f t="shared" ca="1" si="72"/>
        <v>7.936487082881212E-2</v>
      </c>
      <c r="BC59" s="314">
        <f t="shared" ca="1" si="73"/>
        <v>1.8033398102527132E-3</v>
      </c>
      <c r="BD59" s="315">
        <f t="shared" ca="1" si="56"/>
        <v>0.30164729376076271</v>
      </c>
      <c r="BE59" s="315">
        <f t="shared" ca="1" si="57"/>
        <v>0.30155615836632338</v>
      </c>
      <c r="BF59" s="315">
        <f t="shared" ca="1" si="58"/>
        <v>0.28542652984384542</v>
      </c>
      <c r="BG59" s="315">
        <f t="shared" ca="1" si="59"/>
        <v>0.10761164856407623</v>
      </c>
      <c r="BH59" s="316">
        <f t="shared" ca="1" si="60"/>
        <v>1.9550296547394368E-3</v>
      </c>
    </row>
    <row r="60" spans="1:60" x14ac:dyDescent="0.2">
      <c r="A60" s="335">
        <v>2043</v>
      </c>
      <c r="B60" s="925">
        <f t="shared" si="78"/>
        <v>162352.82999999999</v>
      </c>
      <c r="C60" s="926">
        <f t="shared" si="78"/>
        <v>4138.51</v>
      </c>
      <c r="D60" s="926">
        <f t="shared" si="78"/>
        <v>4471.53</v>
      </c>
      <c r="E60" s="926">
        <f t="shared" si="78"/>
        <v>18119.22</v>
      </c>
      <c r="F60" s="926">
        <f t="shared" si="78"/>
        <v>40503.9</v>
      </c>
      <c r="G60" s="927">
        <f t="shared" si="78"/>
        <v>11581.51</v>
      </c>
      <c r="H60" s="886">
        <f t="shared" si="79"/>
        <v>1</v>
      </c>
      <c r="I60" s="887">
        <f t="shared" si="79"/>
        <v>1</v>
      </c>
      <c r="J60" s="887">
        <f t="shared" si="79"/>
        <v>1</v>
      </c>
      <c r="K60" s="887">
        <f t="shared" si="79"/>
        <v>1</v>
      </c>
      <c r="L60" s="887">
        <f t="shared" si="79"/>
        <v>0.69568765258290521</v>
      </c>
      <c r="M60" s="888">
        <f t="shared" si="79"/>
        <v>1</v>
      </c>
      <c r="N60" s="293">
        <f t="shared" si="28"/>
        <v>9155.7751744441521</v>
      </c>
      <c r="O60" s="294">
        <f t="shared" si="29"/>
        <v>7895.519962628061</v>
      </c>
      <c r="P60" s="294">
        <f t="shared" si="30"/>
        <v>7849.2931759335661</v>
      </c>
      <c r="Q60" s="294">
        <f t="shared" si="31"/>
        <v>6886.7302028480444</v>
      </c>
      <c r="R60" s="294">
        <f t="shared" si="32"/>
        <v>7288.3534040738068</v>
      </c>
      <c r="S60" s="296">
        <f t="shared" si="33"/>
        <v>7207.0185449846031</v>
      </c>
      <c r="T60" s="834">
        <f t="shared" si="61"/>
        <v>1260.2552118160911</v>
      </c>
      <c r="U60" s="308">
        <f t="shared" si="62"/>
        <v>1306.481998510586</v>
      </c>
      <c r="V60" s="308">
        <f t="shared" si="63"/>
        <v>2269.0449715961076</v>
      </c>
      <c r="W60" s="308">
        <f t="shared" si="64"/>
        <v>1867.4217703703453</v>
      </c>
      <c r="X60" s="309">
        <f t="shared" si="65"/>
        <v>1948.756629459549</v>
      </c>
      <c r="Y60" s="311">
        <f ca="1">IF(AND(Y$22=TRUE,INDEX(CDRANGE_CLS1,MATCH($A60,$A$24:$A$67,0),MATCH(Y$20,$B$20:$G$20,0))&lt;$D$6/OPDAYS_Cls1),86,payback(C60,T60,disc_rate/12,85))</f>
        <v>4</v>
      </c>
      <c r="Z60" s="312">
        <f ca="1">IF(AND(Z$22=TRUE,INDEX(CDRANGE_CLS1,MATCH($A60,$A$24:$A$67,0),MATCH(Z$20,$B$20:$G$20,0))&lt;$D$6/OPDAYS_Cls1),86,payback(D60,U60,disc_rate/12,85))</f>
        <v>4</v>
      </c>
      <c r="AA60" s="312">
        <f ca="1">IF(AND(AA$22=TRUE,INDEX(CDRANGE_CLS1,MATCH($A60,$A$24:$A$67,0),MATCH(AA$20,$B$20:$G$20,0))&lt;$D$6/OPDAYS_Cls1),86,payback(E60,V60,disc_rate/12,85))</f>
        <v>9</v>
      </c>
      <c r="AB60" s="312">
        <f ca="1">IF(AND(AB$22=TRUE,INDEX(CDRANGE_CLS1,MATCH($A60,$A$24:$A$67,0),MATCH(AB$20,$B$20:$G$20,0))&lt;$D$6/OPDAYS_Cls1),86,payback(F60,W60,disc_rate/12,85))</f>
        <v>24</v>
      </c>
      <c r="AC60" s="692">
        <f ca="1">IF(AND(AC$22=TRUE,INDEX(CDRANGE_CLS1,MATCH($A60,$A$24:$A$67,0),MATCH(AC$20,$B$20:$G$20,0))&lt;$D$6/OPDAYS_Cls1),86,payback(G60,X60,disc_rate/12,85))</f>
        <v>7</v>
      </c>
      <c r="AD60" s="314">
        <f t="shared" si="35"/>
        <v>0.144640037236553</v>
      </c>
      <c r="AE60" s="315">
        <f t="shared" si="36"/>
        <v>7.6867880070160169E-2</v>
      </c>
      <c r="AF60" s="315">
        <f t="shared" si="37"/>
        <v>0</v>
      </c>
      <c r="AG60" s="315">
        <f t="shared" si="38"/>
        <v>0</v>
      </c>
      <c r="AH60" s="316">
        <f t="shared" si="39"/>
        <v>0</v>
      </c>
      <c r="AI60" s="1250">
        <f t="shared" si="40"/>
        <v>0.49999999719860178</v>
      </c>
      <c r="AJ60" s="1251">
        <f t="shared" si="41"/>
        <v>0.49999999719860178</v>
      </c>
      <c r="AK60" s="1251">
        <f t="shared" si="42"/>
        <v>0.49999999719860178</v>
      </c>
      <c r="AL60" s="1251">
        <f t="shared" si="43"/>
        <v>0.49999999719860178</v>
      </c>
      <c r="AM60" s="1259">
        <f t="shared" si="44"/>
        <v>5.3498330632972865E-2</v>
      </c>
      <c r="AN60" s="317">
        <f t="shared" si="66"/>
        <v>0.9981966753922622</v>
      </c>
      <c r="AO60" s="318">
        <f t="shared" si="67"/>
        <v>0.99789509454064651</v>
      </c>
      <c r="AP60" s="318">
        <f t="shared" si="68"/>
        <v>0.96599322327684367</v>
      </c>
      <c r="AQ60" s="318">
        <f t="shared" si="69"/>
        <v>0.84122961505729754</v>
      </c>
      <c r="AR60" s="698">
        <f t="shared" si="70"/>
        <v>0.98596403431105162</v>
      </c>
      <c r="AS60" s="314">
        <f t="shared" ca="1" si="46"/>
        <v>0.99999999439720355</v>
      </c>
      <c r="AT60" s="315">
        <f t="shared" ca="1" si="47"/>
        <v>0.99999999439720355</v>
      </c>
      <c r="AU60" s="315">
        <f t="shared" ca="1" si="48"/>
        <v>0.97659516623265696</v>
      </c>
      <c r="AV60" s="315">
        <f t="shared" ca="1" si="49"/>
        <v>0.5511140983655276</v>
      </c>
      <c r="AW60" s="316">
        <f t="shared" ca="1" si="50"/>
        <v>0.10664649173122157</v>
      </c>
      <c r="AX60" s="314">
        <f t="shared" ca="1" si="51"/>
        <v>0.99819666979956945</v>
      </c>
      <c r="AY60" s="315">
        <f t="shared" ca="1" si="52"/>
        <v>0.99789508894964341</v>
      </c>
      <c r="AZ60" s="315">
        <f t="shared" ca="1" si="53"/>
        <v>0.94338431246566923</v>
      </c>
      <c r="BA60" s="315">
        <f t="shared" ca="1" si="71"/>
        <v>0.46361350082068242</v>
      </c>
      <c r="BB60" s="316">
        <f t="shared" ca="1" si="72"/>
        <v>0.10514960523243543</v>
      </c>
      <c r="BC60" s="314">
        <f t="shared" ca="1" si="73"/>
        <v>1.8033302004304419E-3</v>
      </c>
      <c r="BD60" s="315">
        <f t="shared" ca="1" si="56"/>
        <v>0.29182697822457676</v>
      </c>
      <c r="BE60" s="315">
        <f t="shared" ca="1" si="57"/>
        <v>0.29173880979966904</v>
      </c>
      <c r="BF60" s="315">
        <f t="shared" ca="1" si="58"/>
        <v>0.275802355929123</v>
      </c>
      <c r="BG60" s="315">
        <f t="shared" ca="1" si="59"/>
        <v>0.13553934921039487</v>
      </c>
      <c r="BH60" s="316">
        <f t="shared" ca="1" si="60"/>
        <v>3.2891766358059205E-3</v>
      </c>
    </row>
    <row r="61" spans="1:60" x14ac:dyDescent="0.2">
      <c r="A61" s="335">
        <v>2044</v>
      </c>
      <c r="B61" s="925">
        <f t="shared" si="78"/>
        <v>162352.82999999999</v>
      </c>
      <c r="C61" s="926">
        <f t="shared" si="78"/>
        <v>4138.51</v>
      </c>
      <c r="D61" s="926">
        <f t="shared" si="78"/>
        <v>4471.53</v>
      </c>
      <c r="E61" s="926">
        <f t="shared" si="78"/>
        <v>18436.96</v>
      </c>
      <c r="F61" s="926">
        <f t="shared" si="78"/>
        <v>39966.83</v>
      </c>
      <c r="G61" s="927">
        <f t="shared" si="78"/>
        <v>11103.67</v>
      </c>
      <c r="H61" s="886">
        <f t="shared" si="79"/>
        <v>1</v>
      </c>
      <c r="I61" s="887">
        <f t="shared" si="79"/>
        <v>1</v>
      </c>
      <c r="J61" s="887">
        <f t="shared" si="79"/>
        <v>1</v>
      </c>
      <c r="K61" s="887">
        <f t="shared" si="79"/>
        <v>1</v>
      </c>
      <c r="L61" s="887">
        <f t="shared" si="79"/>
        <v>0.69549456974971036</v>
      </c>
      <c r="M61" s="888">
        <f t="shared" si="79"/>
        <v>1</v>
      </c>
      <c r="N61" s="293">
        <f t="shared" si="28"/>
        <v>9118.14635906691</v>
      </c>
      <c r="O61" s="294">
        <f t="shared" si="29"/>
        <v>7863.0706006329856</v>
      </c>
      <c r="P61" s="294">
        <f t="shared" si="30"/>
        <v>7817.0337988593592</v>
      </c>
      <c r="Q61" s="294">
        <f t="shared" si="31"/>
        <v>6821.3017255232835</v>
      </c>
      <c r="R61" s="294">
        <f t="shared" si="32"/>
        <v>6999.7340178045024</v>
      </c>
      <c r="S61" s="296">
        <f t="shared" si="33"/>
        <v>7007.2073704858012</v>
      </c>
      <c r="T61" s="834">
        <f t="shared" si="61"/>
        <v>1255.0757584339244</v>
      </c>
      <c r="U61" s="308">
        <f t="shared" si="62"/>
        <v>1301.1125602075508</v>
      </c>
      <c r="V61" s="308">
        <f t="shared" si="63"/>
        <v>2296.8446335436265</v>
      </c>
      <c r="W61" s="308">
        <f t="shared" si="64"/>
        <v>2118.4123412624076</v>
      </c>
      <c r="X61" s="309">
        <f t="shared" si="65"/>
        <v>2110.9389885811088</v>
      </c>
      <c r="Y61" s="311">
        <f ca="1">IF(AND(Y$22=TRUE,INDEX(CDRANGE_CLS1,MATCH($A61,$A$24:$A$67,0),MATCH(Y$20,$B$20:$G$20,0))&lt;$D$6/OPDAYS_Cls1),86,payback(C61,T61,disc_rate/12,85))</f>
        <v>4</v>
      </c>
      <c r="Z61" s="312">
        <f ca="1">IF(AND(Z$22=TRUE,INDEX(CDRANGE_CLS1,MATCH($A61,$A$24:$A$67,0),MATCH(Z$20,$B$20:$G$20,0))&lt;$D$6/OPDAYS_Cls1),86,payback(D61,U61,disc_rate/12,85))</f>
        <v>4</v>
      </c>
      <c r="AA61" s="312">
        <f ca="1">IF(AND(AA$22=TRUE,INDEX(CDRANGE_CLS1,MATCH($A61,$A$24:$A$67,0),MATCH(AA$20,$B$20:$G$20,0))&lt;$D$6/OPDAYS_Cls1),86,payback(E61,V61,disc_rate/12,85))</f>
        <v>9</v>
      </c>
      <c r="AB61" s="312">
        <f ca="1">IF(AND(AB$22=TRUE,INDEX(CDRANGE_CLS1,MATCH($A61,$A$24:$A$67,0),MATCH(AB$20,$B$20:$G$20,0))&lt;$D$6/OPDAYS_Cls1),86,payback(F61,W61,disc_rate/12,85))</f>
        <v>21</v>
      </c>
      <c r="AC61" s="692">
        <f ca="1">IF(AND(AC$22=TRUE,INDEX(CDRANGE_CLS1,MATCH($A61,$A$24:$A$67,0),MATCH(AC$20,$B$20:$G$20,0))&lt;$D$6/OPDAYS_Cls1),86,payback(G61,X61,disc_rate/12,85))</f>
        <v>6</v>
      </c>
      <c r="AD61" s="314">
        <f t="shared" si="35"/>
        <v>0.14464003774881634</v>
      </c>
      <c r="AE61" s="315">
        <f t="shared" si="36"/>
        <v>7.6867880342398748E-2</v>
      </c>
      <c r="AF61" s="315">
        <f t="shared" si="37"/>
        <v>0</v>
      </c>
      <c r="AG61" s="315">
        <f t="shared" si="38"/>
        <v>0</v>
      </c>
      <c r="AH61" s="316">
        <f t="shared" si="39"/>
        <v>0</v>
      </c>
      <c r="AI61" s="1250">
        <f t="shared" si="40"/>
        <v>0.49999999896942315</v>
      </c>
      <c r="AJ61" s="1251">
        <f t="shared" si="41"/>
        <v>0.49999999896942315</v>
      </c>
      <c r="AK61" s="1251">
        <f t="shared" si="42"/>
        <v>0.49999999896942315</v>
      </c>
      <c r="AL61" s="1251">
        <f t="shared" si="43"/>
        <v>0.49999999896942315</v>
      </c>
      <c r="AM61" s="1259">
        <f t="shared" si="44"/>
        <v>6.0776630199764439E-2</v>
      </c>
      <c r="AN61" s="317">
        <f t="shared" si="66"/>
        <v>0.9981966753922622</v>
      </c>
      <c r="AO61" s="318">
        <f t="shared" si="67"/>
        <v>0.99789509454064651</v>
      </c>
      <c r="AP61" s="318">
        <f t="shared" si="68"/>
        <v>0.96481149188666837</v>
      </c>
      <c r="AQ61" s="318">
        <f t="shared" si="69"/>
        <v>0.84506978591065396</v>
      </c>
      <c r="AR61" s="698">
        <f t="shared" si="70"/>
        <v>0.98709100250906201</v>
      </c>
      <c r="AS61" s="314">
        <f t="shared" ca="1" si="46"/>
        <v>0.99999999793884631</v>
      </c>
      <c r="AT61" s="315">
        <f t="shared" ca="1" si="47"/>
        <v>0.99999999793884631</v>
      </c>
      <c r="AU61" s="315">
        <f t="shared" ca="1" si="48"/>
        <v>0.97659516969140825</v>
      </c>
      <c r="AV61" s="315">
        <f t="shared" ca="1" si="49"/>
        <v>0.65107839975718573</v>
      </c>
      <c r="AW61" s="316">
        <f t="shared" ca="1" si="50"/>
        <v>0.12155326039952888</v>
      </c>
      <c r="AX61" s="314">
        <f t="shared" ca="1" si="51"/>
        <v>0.99819667333482542</v>
      </c>
      <c r="AY61" s="315">
        <f t="shared" ca="1" si="52"/>
        <v>0.99789509248383135</v>
      </c>
      <c r="AZ61" s="315">
        <f t="shared" ca="1" si="53"/>
        <v>0.94223024263928168</v>
      </c>
      <c r="BA61" s="315">
        <f t="shared" ca="1" si="71"/>
        <v>0.55020668389385607</v>
      </c>
      <c r="BB61" s="316">
        <f t="shared" ca="1" si="72"/>
        <v>0.11998412966601603</v>
      </c>
      <c r="BC61" s="314">
        <f t="shared" ca="1" si="73"/>
        <v>1.8033266651746871E-3</v>
      </c>
      <c r="BD61" s="315">
        <f t="shared" ca="1" si="56"/>
        <v>0.28443174819108769</v>
      </c>
      <c r="BE61" s="315">
        <f t="shared" ca="1" si="57"/>
        <v>0.28434581405509962</v>
      </c>
      <c r="BF61" s="315">
        <f t="shared" ca="1" si="58"/>
        <v>0.26848436011818705</v>
      </c>
      <c r="BG61" s="315">
        <f t="shared" ca="1" si="59"/>
        <v>0.15677897266830207</v>
      </c>
      <c r="BH61" s="316">
        <f t="shared" ca="1" si="60"/>
        <v>4.1557783021489471E-3</v>
      </c>
    </row>
    <row r="62" spans="1:60" ht="13.5" thickBot="1" x14ac:dyDescent="0.25">
      <c r="A62" s="320">
        <v>2045</v>
      </c>
      <c r="B62" s="928">
        <f t="shared" si="78"/>
        <v>162352.82999999999</v>
      </c>
      <c r="C62" s="929">
        <f t="shared" si="78"/>
        <v>4138.51</v>
      </c>
      <c r="D62" s="929">
        <f t="shared" si="78"/>
        <v>4471.53</v>
      </c>
      <c r="E62" s="929">
        <f t="shared" si="78"/>
        <v>18754.7</v>
      </c>
      <c r="F62" s="929">
        <f t="shared" si="78"/>
        <v>39429.760000000002</v>
      </c>
      <c r="G62" s="930">
        <f t="shared" si="78"/>
        <v>10625.83</v>
      </c>
      <c r="H62" s="886">
        <f t="shared" si="79"/>
        <v>1</v>
      </c>
      <c r="I62" s="887">
        <f t="shared" si="79"/>
        <v>1</v>
      </c>
      <c r="J62" s="887">
        <f t="shared" si="79"/>
        <v>1</v>
      </c>
      <c r="K62" s="887">
        <f t="shared" si="79"/>
        <v>1</v>
      </c>
      <c r="L62" s="887">
        <f t="shared" si="79"/>
        <v>0.6953014869165155</v>
      </c>
      <c r="M62" s="888">
        <f t="shared" si="79"/>
        <v>1</v>
      </c>
      <c r="N62" s="883">
        <f t="shared" si="28"/>
        <v>9131.0524095961409</v>
      </c>
      <c r="O62" s="884">
        <f t="shared" si="29"/>
        <v>7874.2001858019885</v>
      </c>
      <c r="P62" s="884">
        <f t="shared" si="30"/>
        <v>7828.098222397206</v>
      </c>
      <c r="Q62" s="884">
        <f t="shared" si="31"/>
        <v>6794.1794553351747</v>
      </c>
      <c r="R62" s="884">
        <f t="shared" si="32"/>
        <v>6770.2148481993572</v>
      </c>
      <c r="S62" s="885">
        <f t="shared" si="33"/>
        <v>6827.8780031298502</v>
      </c>
      <c r="T62" s="837">
        <f t="shared" si="61"/>
        <v>1256.8522237941525</v>
      </c>
      <c r="U62" s="322">
        <f t="shared" si="62"/>
        <v>1302.954187198935</v>
      </c>
      <c r="V62" s="322">
        <f t="shared" si="63"/>
        <v>2336.8729542609663</v>
      </c>
      <c r="W62" s="322">
        <f t="shared" si="64"/>
        <v>2360.8375613967837</v>
      </c>
      <c r="X62" s="323">
        <f t="shared" si="65"/>
        <v>2303.1744064662907</v>
      </c>
      <c r="Y62" s="325">
        <f ca="1">IF(AND(Y$22=TRUE,INDEX(CDRANGE_CLS1,MATCH($A62,$A$24:$A$67,0),MATCH(Y$20,$B$20:$G$20,0))&lt;$D$6/OPDAYS_Cls1),86,payback(C62,T62,disc_rate/12,85))</f>
        <v>4</v>
      </c>
      <c r="Z62" s="326">
        <f ca="1">IF(AND(Z$22=TRUE,INDEX(CDRANGE_CLS1,MATCH($A62,$A$24:$A$67,0),MATCH(Z$20,$B$20:$G$20,0))&lt;$D$6/OPDAYS_Cls1),86,payback(D62,U62,disc_rate/12,85))</f>
        <v>4</v>
      </c>
      <c r="AA62" s="326">
        <f ca="1">IF(AND(AA$22=TRUE,INDEX(CDRANGE_CLS1,MATCH($A62,$A$24:$A$67,0),MATCH(AA$20,$B$20:$G$20,0))&lt;$D$6/OPDAYS_Cls1),86,payback(E62,V62,disc_rate/12,85))</f>
        <v>9</v>
      </c>
      <c r="AB62" s="326">
        <f ca="1">IF(AND(AB$22=TRUE,INDEX(CDRANGE_CLS1,MATCH($A62,$A$24:$A$67,0),MATCH(AB$20,$B$20:$G$20,0))&lt;$D$6/OPDAYS_Cls1),86,payback(F62,W62,disc_rate/12,85))</f>
        <v>18</v>
      </c>
      <c r="AC62" s="693">
        <f ca="1">IF(AND(AC$22=TRUE,INDEX(CDRANGE_CLS1,MATCH($A62,$A$24:$A$67,0),MATCH(AC$20,$B$20:$G$20,0))&lt;$D$6/OPDAYS_Cls1),86,payback(G62,X62,disc_rate/12,85))</f>
        <v>5</v>
      </c>
      <c r="AD62" s="328">
        <f t="shared" si="35"/>
        <v>0.14464003793726751</v>
      </c>
      <c r="AE62" s="329">
        <f t="shared" si="36"/>
        <v>7.6867880442549719E-2</v>
      </c>
      <c r="AF62" s="329">
        <f t="shared" si="37"/>
        <v>0</v>
      </c>
      <c r="AG62" s="329">
        <f t="shared" si="38"/>
        <v>0</v>
      </c>
      <c r="AH62" s="330">
        <f t="shared" si="39"/>
        <v>0</v>
      </c>
      <c r="AI62" s="1253">
        <f t="shared" si="40"/>
        <v>0.49999999962087194</v>
      </c>
      <c r="AJ62" s="1254">
        <f t="shared" si="41"/>
        <v>0.49999999962087194</v>
      </c>
      <c r="AK62" s="1254">
        <f t="shared" si="42"/>
        <v>0.49999999962087194</v>
      </c>
      <c r="AL62" s="1254">
        <f t="shared" si="43"/>
        <v>0.49999999962087194</v>
      </c>
      <c r="AM62" s="1260">
        <f t="shared" si="44"/>
        <v>7.7226768918627967E-2</v>
      </c>
      <c r="AN62" s="331">
        <f t="shared" si="66"/>
        <v>0.9981966753922622</v>
      </c>
      <c r="AO62" s="332">
        <f t="shared" si="67"/>
        <v>0.99789509454064651</v>
      </c>
      <c r="AP62" s="332">
        <f t="shared" si="68"/>
        <v>0.96361070124135817</v>
      </c>
      <c r="AQ62" s="332">
        <f t="shared" si="69"/>
        <v>0.84887587777167828</v>
      </c>
      <c r="AR62" s="699">
        <f t="shared" si="70"/>
        <v>0.98817170171495305</v>
      </c>
      <c r="AS62" s="328">
        <f t="shared" ca="1" si="46"/>
        <v>0.99999999924174388</v>
      </c>
      <c r="AT62" s="329">
        <f t="shared" ca="1" si="47"/>
        <v>0.99999999924174388</v>
      </c>
      <c r="AU62" s="329">
        <f t="shared" ca="1" si="48"/>
        <v>0.97659517096381165</v>
      </c>
      <c r="AV62" s="329">
        <f t="shared" ca="1" si="49"/>
        <v>0.75038070880164065</v>
      </c>
      <c r="AW62" s="330">
        <f t="shared" ca="1" si="50"/>
        <v>0.15445353783725593</v>
      </c>
      <c r="AX62" s="328">
        <f t="shared" ca="1" si="51"/>
        <v>0.99819667463537343</v>
      </c>
      <c r="AY62" s="329">
        <f t="shared" ca="1" si="52"/>
        <v>0.99789509378398644</v>
      </c>
      <c r="AZ62" s="329">
        <f t="shared" ca="1" si="53"/>
        <v>0.94105755752136266</v>
      </c>
      <c r="BA62" s="329">
        <f t="shared" ca="1" si="71"/>
        <v>0.63698008284692686</v>
      </c>
      <c r="BB62" s="330">
        <f t="shared" ca="1" si="72"/>
        <v>0.15262661532053609</v>
      </c>
      <c r="BC62" s="328">
        <f t="shared" ca="1" si="73"/>
        <v>1.8033253646266845E-3</v>
      </c>
      <c r="BD62" s="329">
        <f t="shared" ca="1" si="56"/>
        <v>0.27695353545995621</v>
      </c>
      <c r="BE62" s="329">
        <f t="shared" ca="1" si="57"/>
        <v>0.27686986068409186</v>
      </c>
      <c r="BF62" s="329">
        <f t="shared" ca="1" si="58"/>
        <v>0.26110006599857338</v>
      </c>
      <c r="BG62" s="329">
        <f t="shared" ca="1" si="59"/>
        <v>0.17673259232853444</v>
      </c>
      <c r="BH62" s="330">
        <f t="shared" ca="1" si="60"/>
        <v>6.5406201642174092E-3</v>
      </c>
    </row>
    <row r="63" spans="1:60" x14ac:dyDescent="0.2">
      <c r="A63" s="334">
        <v>2046</v>
      </c>
      <c r="B63" s="931">
        <f t="shared" si="78"/>
        <v>162352.82999999999</v>
      </c>
      <c r="C63" s="932">
        <f t="shared" si="78"/>
        <v>4138.51</v>
      </c>
      <c r="D63" s="932">
        <f t="shared" si="78"/>
        <v>4471.53</v>
      </c>
      <c r="E63" s="932">
        <f t="shared" si="78"/>
        <v>19072.45</v>
      </c>
      <c r="F63" s="932">
        <f t="shared" si="78"/>
        <v>38892.69</v>
      </c>
      <c r="G63" s="933">
        <f t="shared" si="78"/>
        <v>10147.99</v>
      </c>
      <c r="H63" s="886">
        <f t="shared" si="79"/>
        <v>1</v>
      </c>
      <c r="I63" s="887">
        <f t="shared" si="79"/>
        <v>1</v>
      </c>
      <c r="J63" s="887">
        <f t="shared" si="79"/>
        <v>1</v>
      </c>
      <c r="K63" s="887">
        <f t="shared" si="79"/>
        <v>1</v>
      </c>
      <c r="L63" s="887">
        <f t="shared" si="79"/>
        <v>0.69510840408332064</v>
      </c>
      <c r="M63" s="888">
        <f t="shared" si="79"/>
        <v>1</v>
      </c>
      <c r="N63" s="731">
        <f t="shared" si="28"/>
        <v>9088.3234265266601</v>
      </c>
      <c r="O63" s="732">
        <f t="shared" si="29"/>
        <v>7837.3526734526749</v>
      </c>
      <c r="P63" s="732">
        <f t="shared" si="30"/>
        <v>7791.4664453131618</v>
      </c>
      <c r="Q63" s="732">
        <f t="shared" si="31"/>
        <v>6726.1727650034245</v>
      </c>
      <c r="R63" s="732">
        <f t="shared" si="32"/>
        <v>6563.0554162141771</v>
      </c>
      <c r="S63" s="846">
        <f t="shared" si="33"/>
        <v>6770.061108322484</v>
      </c>
      <c r="T63" s="833">
        <f t="shared" si="61"/>
        <v>1250.9707530739852</v>
      </c>
      <c r="U63" s="294">
        <f t="shared" si="62"/>
        <v>1296.8569812134983</v>
      </c>
      <c r="V63" s="294">
        <f t="shared" si="63"/>
        <v>2362.1506615232356</v>
      </c>
      <c r="W63" s="294">
        <f t="shared" si="64"/>
        <v>2525.2680103124831</v>
      </c>
      <c r="X63" s="295">
        <f t="shared" si="65"/>
        <v>2318.2623182041762</v>
      </c>
      <c r="Y63" s="297">
        <f ca="1">IF(AND(Y$22=TRUE,INDEX(CDRANGE_CLS1,MATCH($A63,$A$24:$A$67,0),MATCH(Y$20,$B$20:$G$20,0))&lt;$D$6/OPDAYS_Cls1),86,payback(C63,T63,disc_rate/12,85))</f>
        <v>4</v>
      </c>
      <c r="Z63" s="298">
        <f ca="1">IF(AND(Z$22=TRUE,INDEX(CDRANGE_CLS1,MATCH($A63,$A$24:$A$67,0),MATCH(Z$20,$B$20:$G$20,0))&lt;$D$6/OPDAYS_Cls1),86,payback(D63,U63,disc_rate/12,85))</f>
        <v>4</v>
      </c>
      <c r="AA63" s="298">
        <f ca="1">IF(AND(AA$22=TRUE,INDEX(CDRANGE_CLS1,MATCH($A63,$A$24:$A$67,0),MATCH(AA$20,$B$20:$G$20,0))&lt;$D$6/OPDAYS_Cls1),86,payback(E63,V63,disc_rate/12,85))</f>
        <v>9</v>
      </c>
      <c r="AB63" s="298">
        <f ca="1">IF(AND(AB$22=TRUE,INDEX(CDRANGE_CLS1,MATCH($A63,$A$24:$A$67,0),MATCH(AB$20,$B$20:$G$20,0))&lt;$D$6/OPDAYS_Cls1),86,payback(F63,W63,disc_rate/12,85))</f>
        <v>17</v>
      </c>
      <c r="AC63" s="710">
        <f ca="1">IF(AND(AC$22=TRUE,INDEX(CDRANGE_CLS1,MATCH($A63,$A$24:$A$67,0),MATCH(AC$20,$B$20:$G$20,0))&lt;$D$6/OPDAYS_Cls1),86,payback(G63,X63,disc_rate/12,85))</f>
        <v>5</v>
      </c>
      <c r="AD63" s="300">
        <f t="shared" si="35"/>
        <v>0.14464003793726751</v>
      </c>
      <c r="AE63" s="301">
        <f t="shared" si="36"/>
        <v>7.6867880442549719E-2</v>
      </c>
      <c r="AF63" s="301">
        <f t="shared" si="37"/>
        <v>0</v>
      </c>
      <c r="AG63" s="301">
        <f t="shared" si="38"/>
        <v>0</v>
      </c>
      <c r="AH63" s="302">
        <f t="shared" si="39"/>
        <v>0</v>
      </c>
      <c r="AI63" s="1247">
        <f t="shared" si="40"/>
        <v>0.49999999962087194</v>
      </c>
      <c r="AJ63" s="1248">
        <f t="shared" si="41"/>
        <v>0.49999999962087194</v>
      </c>
      <c r="AK63" s="1248">
        <f t="shared" si="42"/>
        <v>0.49999999962087194</v>
      </c>
      <c r="AL63" s="1248">
        <f t="shared" si="43"/>
        <v>0.49999999962087194</v>
      </c>
      <c r="AM63" s="1261">
        <f t="shared" si="44"/>
        <v>9.6250620132841011E-2</v>
      </c>
      <c r="AN63" s="303">
        <f t="shared" si="66"/>
        <v>0.9981966753922622</v>
      </c>
      <c r="AO63" s="304">
        <f t="shared" si="67"/>
        <v>0.99789509454064651</v>
      </c>
      <c r="AP63" s="304">
        <f t="shared" si="68"/>
        <v>0.96239088744568058</v>
      </c>
      <c r="AQ63" s="304">
        <f t="shared" si="69"/>
        <v>0.85264727334014301</v>
      </c>
      <c r="AR63" s="711">
        <f t="shared" si="70"/>
        <v>0.98920597719971171</v>
      </c>
      <c r="AS63" s="300">
        <f t="shared" ca="1" si="46"/>
        <v>0.99999999924174388</v>
      </c>
      <c r="AT63" s="301">
        <f t="shared" ca="1" si="47"/>
        <v>0.99999999924174388</v>
      </c>
      <c r="AU63" s="301">
        <f t="shared" ca="1" si="48"/>
        <v>0.97659517096381165</v>
      </c>
      <c r="AV63" s="301">
        <f t="shared" ca="1" si="49"/>
        <v>0.78228006881374645</v>
      </c>
      <c r="AW63" s="302">
        <f t="shared" ca="1" si="50"/>
        <v>0.19250124026568202</v>
      </c>
      <c r="AX63" s="300">
        <f t="shared" ca="1" si="51"/>
        <v>0.99819667463537343</v>
      </c>
      <c r="AY63" s="301">
        <f t="shared" ca="1" si="52"/>
        <v>0.99789509378398644</v>
      </c>
      <c r="AZ63" s="301">
        <f t="shared" ca="1" si="53"/>
        <v>0.93986629325902882</v>
      </c>
      <c r="BA63" s="301">
        <f t="shared" ca="1" si="71"/>
        <v>0.66700896766238038</v>
      </c>
      <c r="BB63" s="302">
        <f t="shared" ca="1" si="72"/>
        <v>0.19042337748917049</v>
      </c>
      <c r="BC63" s="300">
        <f t="shared" ca="1" si="73"/>
        <v>1.8033253646264624E-3</v>
      </c>
      <c r="BD63" s="301">
        <f t="shared" ca="1" si="56"/>
        <v>0.27376362651553454</v>
      </c>
      <c r="BE63" s="301">
        <f t="shared" ca="1" si="57"/>
        <v>0.27368091549308654</v>
      </c>
      <c r="BF63" s="301">
        <f t="shared" ca="1" si="58"/>
        <v>0.2577660409220387</v>
      </c>
      <c r="BG63" s="301">
        <f t="shared" ca="1" si="59"/>
        <v>0.1829326810493917</v>
      </c>
      <c r="BH63" s="302">
        <f t="shared" ca="1" si="60"/>
        <v>1.0053410655321973E-2</v>
      </c>
    </row>
    <row r="64" spans="1:60" x14ac:dyDescent="0.2">
      <c r="A64" s="335">
        <v>2047</v>
      </c>
      <c r="B64" s="925">
        <f t="shared" si="78"/>
        <v>162352.82999999999</v>
      </c>
      <c r="C64" s="926">
        <f t="shared" si="78"/>
        <v>4138.51</v>
      </c>
      <c r="D64" s="926">
        <f t="shared" si="78"/>
        <v>4471.53</v>
      </c>
      <c r="E64" s="926">
        <f t="shared" si="78"/>
        <v>19390.189999999999</v>
      </c>
      <c r="F64" s="926">
        <f t="shared" si="78"/>
        <v>38355.61</v>
      </c>
      <c r="G64" s="927">
        <f t="shared" si="78"/>
        <v>9670.15</v>
      </c>
      <c r="H64" s="886">
        <f t="shared" si="79"/>
        <v>1</v>
      </c>
      <c r="I64" s="887">
        <f t="shared" si="79"/>
        <v>1</v>
      </c>
      <c r="J64" s="887">
        <f t="shared" si="79"/>
        <v>1</v>
      </c>
      <c r="K64" s="887">
        <f t="shared" si="79"/>
        <v>1</v>
      </c>
      <c r="L64" s="887">
        <f t="shared" si="79"/>
        <v>0.69491532125012601</v>
      </c>
      <c r="M64" s="888">
        <f t="shared" si="79"/>
        <v>1</v>
      </c>
      <c r="N64" s="293">
        <f t="shared" si="28"/>
        <v>9042.6293129877176</v>
      </c>
      <c r="O64" s="294">
        <f t="shared" si="29"/>
        <v>7797.9481687824064</v>
      </c>
      <c r="P64" s="294">
        <f t="shared" si="30"/>
        <v>7752.2926466180297</v>
      </c>
      <c r="Q64" s="294">
        <f t="shared" si="31"/>
        <v>6656.7077854172248</v>
      </c>
      <c r="R64" s="294">
        <f t="shared" si="32"/>
        <v>6412.2544938252167</v>
      </c>
      <c r="S64" s="296">
        <f t="shared" si="33"/>
        <v>6713.2145476596006</v>
      </c>
      <c r="T64" s="834">
        <f t="shared" si="61"/>
        <v>1244.6811442053113</v>
      </c>
      <c r="U64" s="308">
        <f t="shared" si="62"/>
        <v>1290.3366663696879</v>
      </c>
      <c r="V64" s="308">
        <f t="shared" si="63"/>
        <v>2385.9215275704928</v>
      </c>
      <c r="W64" s="308">
        <f t="shared" si="64"/>
        <v>2630.3748191625009</v>
      </c>
      <c r="X64" s="309">
        <f t="shared" si="65"/>
        <v>2329.414765328117</v>
      </c>
      <c r="Y64" s="311">
        <f ca="1">IF(AND(Y$22=TRUE,INDEX(CDRANGE_CLS1,MATCH($A64,$A$24:$A$67,0),MATCH(Y$20,$B$20:$G$20,0))&lt;$D$6/OPDAYS_Cls1),86,payback(C64,T64,disc_rate/12,85))</f>
        <v>4</v>
      </c>
      <c r="Z64" s="312">
        <f ca="1">IF(AND(Z$22=TRUE,INDEX(CDRANGE_CLS1,MATCH($A64,$A$24:$A$67,0),MATCH(Z$20,$B$20:$G$20,0))&lt;$D$6/OPDAYS_Cls1),86,payback(D64,U64,disc_rate/12,85))</f>
        <v>4</v>
      </c>
      <c r="AA64" s="312">
        <f ca="1">IF(AND(AA$22=TRUE,INDEX(CDRANGE_CLS1,MATCH($A64,$A$24:$A$67,0),MATCH(AA$20,$B$20:$G$20,0))&lt;$D$6/OPDAYS_Cls1),86,payback(E64,V64,disc_rate/12,85))</f>
        <v>9</v>
      </c>
      <c r="AB64" s="312">
        <f ca="1">IF(AND(AB$22=TRUE,INDEX(CDRANGE_CLS1,MATCH($A64,$A$24:$A$67,0),MATCH(AB$20,$B$20:$G$20,0))&lt;$D$6/OPDAYS_Cls1),86,payback(F64,W64,disc_rate/12,85))</f>
        <v>16</v>
      </c>
      <c r="AC64" s="692">
        <f ca="1">IF(AND(AC$22=TRUE,INDEX(CDRANGE_CLS1,MATCH($A64,$A$24:$A$67,0),MATCH(AC$20,$B$20:$G$20,0))&lt;$D$6/OPDAYS_Cls1),86,payback(G64,X64,disc_rate/12,85))</f>
        <v>5</v>
      </c>
      <c r="AD64" s="314">
        <f t="shared" si="35"/>
        <v>0.14464003793726751</v>
      </c>
      <c r="AE64" s="315">
        <f t="shared" si="36"/>
        <v>7.6867880442549719E-2</v>
      </c>
      <c r="AF64" s="315">
        <f t="shared" si="37"/>
        <v>0</v>
      </c>
      <c r="AG64" s="315">
        <f t="shared" si="38"/>
        <v>0</v>
      </c>
      <c r="AH64" s="316">
        <f t="shared" si="39"/>
        <v>0</v>
      </c>
      <c r="AI64" s="1250">
        <f t="shared" si="40"/>
        <v>0.49999999962087194</v>
      </c>
      <c r="AJ64" s="1251">
        <f t="shared" si="41"/>
        <v>0.49999999962087194</v>
      </c>
      <c r="AK64" s="1251">
        <f t="shared" si="42"/>
        <v>0.49999999962087194</v>
      </c>
      <c r="AL64" s="1251">
        <f t="shared" si="43"/>
        <v>0.49999999962087194</v>
      </c>
      <c r="AM64" s="1259">
        <f t="shared" si="44"/>
        <v>0.11782847022157542</v>
      </c>
      <c r="AN64" s="317">
        <f t="shared" si="66"/>
        <v>0.9981966753922622</v>
      </c>
      <c r="AO64" s="318">
        <f t="shared" si="67"/>
        <v>0.99789509454064651</v>
      </c>
      <c r="AP64" s="318">
        <f t="shared" si="68"/>
        <v>0.96115220318893124</v>
      </c>
      <c r="AQ64" s="318">
        <f t="shared" si="69"/>
        <v>0.85638342812818613</v>
      </c>
      <c r="AR64" s="698">
        <f t="shared" si="70"/>
        <v>0.99019368077450753</v>
      </c>
      <c r="AS64" s="314">
        <f t="shared" ca="1" si="46"/>
        <v>0.99999999924174388</v>
      </c>
      <c r="AT64" s="315">
        <f t="shared" ca="1" si="47"/>
        <v>0.99999999924174388</v>
      </c>
      <c r="AU64" s="315">
        <f t="shared" ca="1" si="48"/>
        <v>0.97659517096381165</v>
      </c>
      <c r="AV64" s="315">
        <f t="shared" ca="1" si="49"/>
        <v>0.81315546066018718</v>
      </c>
      <c r="AW64" s="316">
        <f t="shared" ca="1" si="50"/>
        <v>0.23565694044315083</v>
      </c>
      <c r="AX64" s="314">
        <f t="shared" ca="1" si="51"/>
        <v>0.99819667463537343</v>
      </c>
      <c r="AY64" s="315">
        <f t="shared" ca="1" si="52"/>
        <v>0.99789509378398644</v>
      </c>
      <c r="AZ64" s="315">
        <f t="shared" ca="1" si="53"/>
        <v>0.93865660019553854</v>
      </c>
      <c r="BA64" s="315">
        <f t="shared" ca="1" si="71"/>
        <v>0.69637286100132545</v>
      </c>
      <c r="BB64" s="316">
        <f t="shared" ca="1" si="72"/>
        <v>0.23334601325746243</v>
      </c>
      <c r="BC64" s="314">
        <f t="shared" ca="1" si="73"/>
        <v>1.8033253646265734E-3</v>
      </c>
      <c r="BD64" s="315">
        <f t="shared" ca="1" si="56"/>
        <v>0.27031107995877729</v>
      </c>
      <c r="BE64" s="315">
        <f t="shared" ca="1" si="57"/>
        <v>0.27022941203931333</v>
      </c>
      <c r="BF64" s="315">
        <f t="shared" ca="1" si="58"/>
        <v>0.254187662368214</v>
      </c>
      <c r="BG64" s="315">
        <f t="shared" ca="1" si="59"/>
        <v>0.1885773664593825</v>
      </c>
      <c r="BH64" s="316">
        <f t="shared" ca="1" si="60"/>
        <v>1.4891153809686327E-2</v>
      </c>
    </row>
    <row r="65" spans="1:60" x14ac:dyDescent="0.2">
      <c r="A65" s="335">
        <v>2048</v>
      </c>
      <c r="B65" s="925">
        <f t="shared" si="78"/>
        <v>162352.82999999999</v>
      </c>
      <c r="C65" s="926">
        <f t="shared" si="78"/>
        <v>4138.51</v>
      </c>
      <c r="D65" s="926">
        <f t="shared" si="78"/>
        <v>4471.53</v>
      </c>
      <c r="E65" s="926">
        <f t="shared" si="78"/>
        <v>19707.93</v>
      </c>
      <c r="F65" s="926">
        <f t="shared" si="78"/>
        <v>37818.54</v>
      </c>
      <c r="G65" s="927">
        <f t="shared" si="78"/>
        <v>9192.31</v>
      </c>
      <c r="H65" s="886">
        <f t="shared" si="79"/>
        <v>1</v>
      </c>
      <c r="I65" s="887">
        <f t="shared" si="79"/>
        <v>1</v>
      </c>
      <c r="J65" s="887">
        <f t="shared" si="79"/>
        <v>1</v>
      </c>
      <c r="K65" s="887">
        <f t="shared" si="79"/>
        <v>1</v>
      </c>
      <c r="L65" s="887">
        <f t="shared" si="79"/>
        <v>0.69472223841693115</v>
      </c>
      <c r="M65" s="888">
        <f t="shared" si="79"/>
        <v>1</v>
      </c>
      <c r="N65" s="293">
        <f t="shared" si="28"/>
        <v>9050.5466973267521</v>
      </c>
      <c r="O65" s="294">
        <f t="shared" si="29"/>
        <v>7804.7757573709878</v>
      </c>
      <c r="P65" s="294">
        <f t="shared" si="30"/>
        <v>7759.0802609575658</v>
      </c>
      <c r="Q65" s="294">
        <f t="shared" si="31"/>
        <v>6627.2357630901188</v>
      </c>
      <c r="R65" s="294">
        <f t="shared" si="32"/>
        <v>6338.0261975995672</v>
      </c>
      <c r="S65" s="296">
        <f t="shared" si="33"/>
        <v>6657.3140969212427</v>
      </c>
      <c r="T65" s="834">
        <f t="shared" si="61"/>
        <v>1245.7709399557643</v>
      </c>
      <c r="U65" s="308">
        <f t="shared" si="62"/>
        <v>1291.4664363691863</v>
      </c>
      <c r="V65" s="308">
        <f t="shared" si="63"/>
        <v>2423.3109342366333</v>
      </c>
      <c r="W65" s="308">
        <f t="shared" si="64"/>
        <v>2712.5204997271849</v>
      </c>
      <c r="X65" s="309">
        <f t="shared" si="65"/>
        <v>2393.2326004055094</v>
      </c>
      <c r="Y65" s="311">
        <f ca="1">IF(AND(Y$22=TRUE,INDEX(CDRANGE_CLS1,MATCH($A65,$A$24:$A$67,0),MATCH(Y$20,$B$20:$G$20,0))&lt;$D$6/OPDAYS_Cls1),86,payback(C65,T65,disc_rate/12,85))</f>
        <v>4</v>
      </c>
      <c r="Z65" s="312">
        <f ca="1">IF(AND(Z$22=TRUE,INDEX(CDRANGE_CLS1,MATCH($A65,$A$24:$A$67,0),MATCH(Z$20,$B$20:$G$20,0))&lt;$D$6/OPDAYS_Cls1),86,payback(D65,U65,disc_rate/12,85))</f>
        <v>4</v>
      </c>
      <c r="AA65" s="312">
        <f ca="1">IF(AND(AA$22=TRUE,INDEX(CDRANGE_CLS1,MATCH($A65,$A$24:$A$67,0),MATCH(AA$20,$B$20:$G$20,0))&lt;$D$6/OPDAYS_Cls1),86,payback(E65,V65,disc_rate/12,85))</f>
        <v>9</v>
      </c>
      <c r="AB65" s="312">
        <f ca="1">IF(AND(AB$22=TRUE,INDEX(CDRANGE_CLS1,MATCH($A65,$A$24:$A$67,0),MATCH(AB$20,$B$20:$G$20,0))&lt;$D$6/OPDAYS_Cls1),86,payback(F65,W65,disc_rate/12,85))</f>
        <v>15</v>
      </c>
      <c r="AC65" s="692">
        <f ca="1">IF(AND(AC$22=TRUE,INDEX(CDRANGE_CLS1,MATCH($A65,$A$24:$A$67,0),MATCH(AC$20,$B$20:$G$20,0))&lt;$D$6/OPDAYS_Cls1),86,payback(G65,X65,disc_rate/12,85))</f>
        <v>4</v>
      </c>
      <c r="AD65" s="314">
        <f t="shared" si="35"/>
        <v>0.14464003793726751</v>
      </c>
      <c r="AE65" s="315">
        <f t="shared" si="36"/>
        <v>7.6867880442549719E-2</v>
      </c>
      <c r="AF65" s="315">
        <f t="shared" si="37"/>
        <v>0</v>
      </c>
      <c r="AG65" s="315">
        <f t="shared" si="38"/>
        <v>0</v>
      </c>
      <c r="AH65" s="316">
        <f t="shared" si="39"/>
        <v>0</v>
      </c>
      <c r="AI65" s="1250">
        <f t="shared" si="40"/>
        <v>0.49999999962087194</v>
      </c>
      <c r="AJ65" s="1251">
        <f t="shared" si="41"/>
        <v>0.49999999962087194</v>
      </c>
      <c r="AK65" s="1251">
        <f t="shared" si="42"/>
        <v>0.49999999962087194</v>
      </c>
      <c r="AL65" s="1251">
        <f t="shared" si="43"/>
        <v>0.49999999962087194</v>
      </c>
      <c r="AM65" s="1259">
        <f t="shared" si="44"/>
        <v>0.12954116250433836</v>
      </c>
      <c r="AN65" s="317">
        <f t="shared" si="66"/>
        <v>0.9981966753922622</v>
      </c>
      <c r="AO65" s="318">
        <f t="shared" si="67"/>
        <v>0.99789509454064651</v>
      </c>
      <c r="AP65" s="318">
        <f t="shared" si="68"/>
        <v>0.95989468739885131</v>
      </c>
      <c r="AQ65" s="318">
        <f t="shared" si="69"/>
        <v>0.86008359302454462</v>
      </c>
      <c r="AR65" s="698">
        <f t="shared" si="70"/>
        <v>0.99113467082607809</v>
      </c>
      <c r="AS65" s="314">
        <f t="shared" ca="1" si="46"/>
        <v>0.99999999924174388</v>
      </c>
      <c r="AT65" s="315">
        <f t="shared" ca="1" si="47"/>
        <v>0.99999999924174388</v>
      </c>
      <c r="AU65" s="315">
        <f t="shared" ca="1" si="48"/>
        <v>0.97659517096381165</v>
      </c>
      <c r="AV65" s="315">
        <f t="shared" ca="1" si="49"/>
        <v>0.84273521235524596</v>
      </c>
      <c r="AW65" s="316">
        <f t="shared" ca="1" si="50"/>
        <v>0.25908232500867673</v>
      </c>
      <c r="AX65" s="314">
        <f t="shared" ca="1" si="51"/>
        <v>0.99819667463537343</v>
      </c>
      <c r="AY65" s="315">
        <f t="shared" ca="1" si="52"/>
        <v>0.99789509378398644</v>
      </c>
      <c r="AZ65" s="315">
        <f t="shared" ca="1" si="53"/>
        <v>0.93742851634753577</v>
      </c>
      <c r="BA65" s="315">
        <f t="shared" ca="1" si="71"/>
        <v>0.7248227294108025</v>
      </c>
      <c r="BB65" s="316">
        <f t="shared" ca="1" si="72"/>
        <v>0.25678547491432979</v>
      </c>
      <c r="BC65" s="314">
        <f t="shared" ca="1" si="73"/>
        <v>1.8033253646265734E-3</v>
      </c>
      <c r="BD65" s="315">
        <f t="shared" ca="1" si="56"/>
        <v>0.26749824164866454</v>
      </c>
      <c r="BE65" s="315">
        <f t="shared" ca="1" si="57"/>
        <v>0.26741742355989423</v>
      </c>
      <c r="BF65" s="315">
        <f t="shared" ca="1" si="58"/>
        <v>0.2512134994698127</v>
      </c>
      <c r="BG65" s="315">
        <f t="shared" ca="1" si="59"/>
        <v>0.19423908188754505</v>
      </c>
      <c r="BH65" s="316">
        <f t="shared" ca="1" si="60"/>
        <v>1.7828428069456996E-2</v>
      </c>
    </row>
    <row r="66" spans="1:60" x14ac:dyDescent="0.2">
      <c r="A66" s="335">
        <v>2049</v>
      </c>
      <c r="B66" s="925">
        <f t="shared" si="78"/>
        <v>162352.82999999999</v>
      </c>
      <c r="C66" s="926">
        <f t="shared" si="78"/>
        <v>4138.51</v>
      </c>
      <c r="D66" s="926">
        <f t="shared" si="78"/>
        <v>4471.53</v>
      </c>
      <c r="E66" s="926">
        <f t="shared" si="78"/>
        <v>20025.669999999998</v>
      </c>
      <c r="F66" s="926">
        <f t="shared" si="78"/>
        <v>37281.47</v>
      </c>
      <c r="G66" s="927">
        <f t="shared" si="78"/>
        <v>8714.4599999999991</v>
      </c>
      <c r="H66" s="886">
        <f t="shared" si="79"/>
        <v>1</v>
      </c>
      <c r="I66" s="887">
        <f t="shared" si="79"/>
        <v>1</v>
      </c>
      <c r="J66" s="887">
        <f t="shared" si="79"/>
        <v>1</v>
      </c>
      <c r="K66" s="887">
        <f t="shared" si="79"/>
        <v>1</v>
      </c>
      <c r="L66" s="887">
        <f t="shared" si="79"/>
        <v>0.69452915558373629</v>
      </c>
      <c r="M66" s="888">
        <f t="shared" si="79"/>
        <v>1</v>
      </c>
      <c r="N66" s="293">
        <f t="shared" si="28"/>
        <v>9031.5126348098511</v>
      </c>
      <c r="O66" s="294">
        <f t="shared" si="29"/>
        <v>7788.3616561388399</v>
      </c>
      <c r="P66" s="294">
        <f t="shared" si="30"/>
        <v>7742.7622612057567</v>
      </c>
      <c r="Q66" s="294">
        <f t="shared" si="31"/>
        <v>6578.4432962718111</v>
      </c>
      <c r="R66" s="294">
        <f t="shared" si="32"/>
        <v>6273.6388837321692</v>
      </c>
      <c r="S66" s="296">
        <f t="shared" si="33"/>
        <v>6602.3363315706238</v>
      </c>
      <c r="T66" s="834">
        <f t="shared" si="61"/>
        <v>1243.1509786710112</v>
      </c>
      <c r="U66" s="308">
        <f t="shared" si="62"/>
        <v>1288.7503736040944</v>
      </c>
      <c r="V66" s="308">
        <f t="shared" si="63"/>
        <v>2453.06933853804</v>
      </c>
      <c r="W66" s="308">
        <f t="shared" si="64"/>
        <v>2757.8737510776818</v>
      </c>
      <c r="X66" s="309">
        <f t="shared" si="65"/>
        <v>2429.1763032392273</v>
      </c>
      <c r="Y66" s="311">
        <f ca="1">IF(AND(Y$22=TRUE,INDEX(CDRANGE_CLS1,MATCH($A66,$A$24:$A$67,0),MATCH(Y$20,$B$20:$G$20,0))&lt;$D$6/OPDAYS_Cls1),86,payback(C66,T66,disc_rate/12,85))</f>
        <v>4</v>
      </c>
      <c r="Z66" s="312">
        <f ca="1">IF(AND(Z$22=TRUE,INDEX(CDRANGE_CLS1,MATCH($A66,$A$24:$A$67,0),MATCH(Z$20,$B$20:$G$20,0))&lt;$D$6/OPDAYS_Cls1),86,payback(D66,U66,disc_rate/12,85))</f>
        <v>4</v>
      </c>
      <c r="AA66" s="312">
        <f ca="1">IF(AND(AA$22=TRUE,INDEX(CDRANGE_CLS1,MATCH($A66,$A$24:$A$67,0),MATCH(AA$20,$B$20:$G$20,0))&lt;$D$6/OPDAYS_Cls1),86,payback(E66,V66,disc_rate/12,85))</f>
        <v>9</v>
      </c>
      <c r="AB66" s="312">
        <f ca="1">IF(AND(AB$22=TRUE,INDEX(CDRANGE_CLS1,MATCH($A66,$A$24:$A$67,0),MATCH(AB$20,$B$20:$G$20,0))&lt;$D$6/OPDAYS_Cls1),86,payback(F66,W66,disc_rate/12,85))</f>
        <v>15</v>
      </c>
      <c r="AC66" s="692">
        <f ca="1">IF(AND(AC$22=TRUE,INDEX(CDRANGE_CLS1,MATCH($A66,$A$24:$A$67,0),MATCH(AC$20,$B$20:$G$20,0))&lt;$D$6/OPDAYS_Cls1),86,payback(G66,X66,disc_rate/12,85))</f>
        <v>4</v>
      </c>
      <c r="AD66" s="314">
        <f t="shared" si="35"/>
        <v>0.14464003793726751</v>
      </c>
      <c r="AE66" s="315">
        <f t="shared" si="36"/>
        <v>7.6867880442549719E-2</v>
      </c>
      <c r="AF66" s="315">
        <f t="shared" si="37"/>
        <v>0</v>
      </c>
      <c r="AG66" s="315">
        <f t="shared" si="38"/>
        <v>0</v>
      </c>
      <c r="AH66" s="316">
        <f t="shared" si="39"/>
        <v>0</v>
      </c>
      <c r="AI66" s="1250">
        <f t="shared" si="40"/>
        <v>0.49999999962087194</v>
      </c>
      <c r="AJ66" s="1251">
        <f t="shared" si="41"/>
        <v>0.49999999962087194</v>
      </c>
      <c r="AK66" s="1251">
        <f t="shared" si="42"/>
        <v>0.49999999962087194</v>
      </c>
      <c r="AL66" s="1251">
        <f t="shared" si="43"/>
        <v>0.49999999962087194</v>
      </c>
      <c r="AM66" s="1259">
        <f t="shared" si="44"/>
        <v>0.15468482913019341</v>
      </c>
      <c r="AN66" s="317">
        <f t="shared" si="66"/>
        <v>0.9981966753922622</v>
      </c>
      <c r="AO66" s="318">
        <f t="shared" si="67"/>
        <v>0.99789509454064651</v>
      </c>
      <c r="AP66" s="318">
        <f t="shared" si="68"/>
        <v>0.95861841819534654</v>
      </c>
      <c r="AQ66" s="318">
        <f t="shared" si="69"/>
        <v>0.86374723186194191</v>
      </c>
      <c r="AR66" s="698">
        <f t="shared" si="70"/>
        <v>0.99202883057159164</v>
      </c>
      <c r="AS66" s="314">
        <f t="shared" ca="1" si="46"/>
        <v>0.99999999924174388</v>
      </c>
      <c r="AT66" s="315">
        <f t="shared" ca="1" si="47"/>
        <v>0.99999999924174388</v>
      </c>
      <c r="AU66" s="315">
        <f t="shared" ca="1" si="48"/>
        <v>0.97659517096381165</v>
      </c>
      <c r="AV66" s="315">
        <f t="shared" ca="1" si="49"/>
        <v>0.84273521235524596</v>
      </c>
      <c r="AW66" s="316">
        <f t="shared" ca="1" si="50"/>
        <v>0.30936965826038682</v>
      </c>
      <c r="AX66" s="314">
        <f t="shared" ca="1" si="51"/>
        <v>0.99819667463537343</v>
      </c>
      <c r="AY66" s="315">
        <f t="shared" ca="1" si="52"/>
        <v>0.99789509378398644</v>
      </c>
      <c r="AZ66" s="315">
        <f t="shared" ca="1" si="53"/>
        <v>0.93618211800654316</v>
      </c>
      <c r="BA66" s="315">
        <f t="shared" ca="1" si="71"/>
        <v>0.72791020686442953</v>
      </c>
      <c r="BB66" s="316">
        <f t="shared" ca="1" si="72"/>
        <v>0.30690362029838447</v>
      </c>
      <c r="BC66" s="314">
        <f t="shared" ca="1" si="73"/>
        <v>1.8033253646264624E-3</v>
      </c>
      <c r="BD66" s="315">
        <f t="shared" ca="1" si="56"/>
        <v>0.26534271761470801</v>
      </c>
      <c r="BE66" s="315">
        <f t="shared" ca="1" si="57"/>
        <v>0.26526255076510719</v>
      </c>
      <c r="BF66" s="315">
        <f t="shared" ca="1" si="58"/>
        <v>0.24885787909971716</v>
      </c>
      <c r="BG66" s="315">
        <f t="shared" ca="1" si="59"/>
        <v>0.19349460620017123</v>
      </c>
      <c r="BH66" s="316">
        <f t="shared" ca="1" si="60"/>
        <v>2.5238920955669888E-2</v>
      </c>
    </row>
    <row r="67" spans="1:60" ht="13.5" thickBot="1" x14ac:dyDescent="0.25">
      <c r="A67" s="320">
        <v>2050</v>
      </c>
      <c r="B67" s="928">
        <f t="shared" si="78"/>
        <v>162352.82999999999</v>
      </c>
      <c r="C67" s="929">
        <f t="shared" si="78"/>
        <v>4138.51</v>
      </c>
      <c r="D67" s="929">
        <f t="shared" si="78"/>
        <v>4471.53</v>
      </c>
      <c r="E67" s="929">
        <f t="shared" si="78"/>
        <v>20343.41</v>
      </c>
      <c r="F67" s="929">
        <f t="shared" si="78"/>
        <v>36744.400000000001</v>
      </c>
      <c r="G67" s="930">
        <f t="shared" si="78"/>
        <v>8236.6200000000008</v>
      </c>
      <c r="H67" s="886">
        <f t="shared" si="79"/>
        <v>1</v>
      </c>
      <c r="I67" s="887">
        <f t="shared" si="79"/>
        <v>1</v>
      </c>
      <c r="J67" s="887">
        <f t="shared" si="79"/>
        <v>1</v>
      </c>
      <c r="K67" s="887">
        <f t="shared" si="79"/>
        <v>1</v>
      </c>
      <c r="L67" s="887">
        <f t="shared" si="79"/>
        <v>0.69433607275054143</v>
      </c>
      <c r="M67" s="888">
        <f t="shared" si="79"/>
        <v>1</v>
      </c>
      <c r="N67" s="883">
        <f t="shared" si="28"/>
        <v>9028.2642373707658</v>
      </c>
      <c r="O67" s="884">
        <f t="shared" si="29"/>
        <v>7785.5603873944474</v>
      </c>
      <c r="P67" s="884">
        <f t="shared" si="30"/>
        <v>7739.9773933638171</v>
      </c>
      <c r="Q67" s="884">
        <f t="shared" si="31"/>
        <v>6541.6002495176772</v>
      </c>
      <c r="R67" s="884">
        <f t="shared" si="32"/>
        <v>6225.6219796730993</v>
      </c>
      <c r="S67" s="885">
        <f t="shared" si="33"/>
        <v>6548.2585940255813</v>
      </c>
      <c r="T67" s="837">
        <f t="shared" si="61"/>
        <v>1242.7038499763185</v>
      </c>
      <c r="U67" s="322">
        <f t="shared" si="62"/>
        <v>1288.2868440069487</v>
      </c>
      <c r="V67" s="322">
        <f t="shared" si="63"/>
        <v>2486.6639878530887</v>
      </c>
      <c r="W67" s="322">
        <f t="shared" si="64"/>
        <v>2802.6422576976665</v>
      </c>
      <c r="X67" s="323">
        <f t="shared" si="65"/>
        <v>2480.0056433451846</v>
      </c>
      <c r="Y67" s="325">
        <f ca="1">IF(AND(Y$22=TRUE,INDEX(CDRANGE_CLS1,MATCH($A67,$A$24:$A$67,0),MATCH(Y$20,$B$20:$G$20,0))&lt;$D$6/OPDAYS_Cls1),86,payback(C67,T67,disc_rate/12,85))</f>
        <v>4</v>
      </c>
      <c r="Z67" s="326">
        <f ca="1">IF(AND(Z$22=TRUE,INDEX(CDRANGE_CLS1,MATCH($A67,$A$24:$A$67,0),MATCH(Z$20,$B$20:$G$20,0))&lt;$D$6/OPDAYS_Cls1),86,payback(D67,U67,disc_rate/12,85))</f>
        <v>4</v>
      </c>
      <c r="AA67" s="326">
        <f ca="1">IF(AND(AA$22=TRUE,INDEX(CDRANGE_CLS1,MATCH($A67,$A$24:$A$67,0),MATCH(AA$20,$B$20:$G$20,0))&lt;$D$6/OPDAYS_Cls1),86,payback(E67,V67,disc_rate/12,85))</f>
        <v>9</v>
      </c>
      <c r="AB67" s="326">
        <f ca="1">IF(AND(AB$22=TRUE,INDEX(CDRANGE_CLS1,MATCH($A67,$A$24:$A$67,0),MATCH(AB$20,$B$20:$G$20,0))&lt;$D$6/OPDAYS_Cls1),86,payback(F67,W67,disc_rate/12,85))</f>
        <v>14</v>
      </c>
      <c r="AC67" s="693">
        <f ca="1">IF(AND(AC$22=TRUE,INDEX(CDRANGE_CLS1,MATCH($A67,$A$24:$A$67,0),MATCH(AC$20,$B$20:$G$20,0))&lt;$D$6/OPDAYS_Cls1),86,payback(G67,X67,disc_rate/12,85))</f>
        <v>4</v>
      </c>
      <c r="AD67" s="328">
        <f t="shared" si="35"/>
        <v>0.14464003793726751</v>
      </c>
      <c r="AE67" s="329">
        <f t="shared" si="36"/>
        <v>7.6867880442549719E-2</v>
      </c>
      <c r="AF67" s="329">
        <f t="shared" si="37"/>
        <v>0</v>
      </c>
      <c r="AG67" s="329">
        <f t="shared" si="38"/>
        <v>0</v>
      </c>
      <c r="AH67" s="330">
        <f t="shared" si="39"/>
        <v>0</v>
      </c>
      <c r="AI67" s="1253">
        <f t="shared" si="40"/>
        <v>0.49999999962087194</v>
      </c>
      <c r="AJ67" s="1254">
        <f t="shared" si="41"/>
        <v>0.49999999962087194</v>
      </c>
      <c r="AK67" s="1254">
        <f t="shared" si="42"/>
        <v>0.49999999962087194</v>
      </c>
      <c r="AL67" s="1254">
        <f t="shared" si="43"/>
        <v>0.49999999962087194</v>
      </c>
      <c r="AM67" s="1260">
        <f t="shared" si="44"/>
        <v>0.16804211820484452</v>
      </c>
      <c r="AN67" s="331">
        <f t="shared" si="66"/>
        <v>0.9981966753922622</v>
      </c>
      <c r="AO67" s="332">
        <f t="shared" si="67"/>
        <v>0.99789509454064651</v>
      </c>
      <c r="AP67" s="332">
        <f t="shared" si="68"/>
        <v>0.95732347479164359</v>
      </c>
      <c r="AQ67" s="332">
        <f t="shared" si="69"/>
        <v>0.86737374265407174</v>
      </c>
      <c r="AR67" s="699">
        <f t="shared" si="70"/>
        <v>0.99287599422242501</v>
      </c>
      <c r="AS67" s="328">
        <f t="shared" ca="1" si="46"/>
        <v>0.99999999924174388</v>
      </c>
      <c r="AT67" s="329">
        <f t="shared" ca="1" si="47"/>
        <v>0.99999999924174388</v>
      </c>
      <c r="AU67" s="329">
        <f t="shared" ca="1" si="48"/>
        <v>0.97659517096381165</v>
      </c>
      <c r="AV67" s="329">
        <f t="shared" ca="1" si="49"/>
        <v>0.87073765296713201</v>
      </c>
      <c r="AW67" s="330">
        <f t="shared" ca="1" si="50"/>
        <v>0.33608423640968904</v>
      </c>
      <c r="AX67" s="328">
        <f t="shared" ca="1" si="51"/>
        <v>0.99819667463537343</v>
      </c>
      <c r="AY67" s="329">
        <f t="shared" ca="1" si="52"/>
        <v>0.99789509378398644</v>
      </c>
      <c r="AZ67" s="329">
        <f t="shared" ca="1" si="53"/>
        <v>0.93491748253181539</v>
      </c>
      <c r="BA67" s="329">
        <f t="shared" ca="1" si="71"/>
        <v>0.75525497692392363</v>
      </c>
      <c r="BB67" s="330">
        <f t="shared" ca="1" si="72"/>
        <v>0.33368997036775455</v>
      </c>
      <c r="BC67" s="328">
        <f t="shared" ca="1" si="73"/>
        <v>1.8033253646265734E-3</v>
      </c>
      <c r="BD67" s="329">
        <f t="shared" ca="1" si="56"/>
        <v>0.26231924222161229</v>
      </c>
      <c r="BE67" s="329">
        <f t="shared" ca="1" si="57"/>
        <v>0.26223998884157745</v>
      </c>
      <c r="BF67" s="329">
        <f t="shared" ca="1" si="58"/>
        <v>0.24568990439390945</v>
      </c>
      <c r="BG67" s="329">
        <f t="shared" ca="1" si="59"/>
        <v>0.19847582972880015</v>
      </c>
      <c r="BH67" s="330">
        <f t="shared" ca="1" si="60"/>
        <v>2.947170944947405E-2</v>
      </c>
    </row>
    <row r="68" spans="1:60" x14ac:dyDescent="0.2">
      <c r="A68" s="245" t="str">
        <f>"Output generated: "&amp; TEXT(MAX($P$4,$P$5),"m/dd/yyyy hh:mm")</f>
        <v>Output generated: 2/21/2020 18:23</v>
      </c>
      <c r="B68" s="913"/>
      <c r="C68" s="913"/>
      <c r="D68" s="913"/>
      <c r="E68" s="913"/>
      <c r="F68" s="913"/>
      <c r="G68" s="873"/>
      <c r="W68" s="245" t="str">
        <f>IF(K68=0,"",$N68-R68+W$22)</f>
        <v/>
      </c>
      <c r="X68" s="245" t="str">
        <f>IF(M68=0,"",$N68-S68+X$22)</f>
        <v/>
      </c>
      <c r="Y68" s="252"/>
      <c r="Z68" s="252"/>
      <c r="AA68" s="252"/>
      <c r="AB68" s="252"/>
      <c r="AC68" s="252"/>
      <c r="AD68" s="340"/>
      <c r="AE68" s="252"/>
      <c r="AF68" s="252"/>
      <c r="AG68" s="252"/>
      <c r="AH68" s="252"/>
    </row>
    <row r="69" spans="1:60" ht="13.5" thickBot="1" x14ac:dyDescent="0.25">
      <c r="W69" s="245" t="str">
        <f>IF(K69=0,"",$N69-R69+W$22)</f>
        <v/>
      </c>
      <c r="X69" s="245" t="str">
        <f>IF(M69=0,"",$N69-S69+X$22)</f>
        <v/>
      </c>
    </row>
    <row r="70" spans="1:60" s="29" customFormat="1" ht="15" x14ac:dyDescent="0.25">
      <c r="A70" s="351"/>
      <c r="B70" s="1561" t="s">
        <v>189</v>
      </c>
      <c r="C70" s="1562"/>
      <c r="D70" s="1562"/>
      <c r="E70" s="1562"/>
      <c r="F70" s="1562"/>
      <c r="G70" s="1562"/>
      <c r="H70" s="1562"/>
      <c r="I70" s="1562"/>
      <c r="J70" s="1562"/>
      <c r="K70" s="1562"/>
      <c r="L70" s="1562"/>
      <c r="M70" s="1562"/>
      <c r="N70" s="1563"/>
      <c r="O70" s="1561" t="s">
        <v>190</v>
      </c>
      <c r="P70" s="1562"/>
      <c r="Q70" s="1562"/>
      <c r="R70" s="1562"/>
      <c r="S70" s="1562"/>
      <c r="T70" s="1562"/>
      <c r="U70" s="1562"/>
      <c r="V70" s="1562"/>
      <c r="W70" s="1562"/>
      <c r="X70" s="1562"/>
      <c r="Y70" s="1562"/>
      <c r="Z70" s="1562"/>
      <c r="AA70" s="1563"/>
    </row>
    <row r="71" spans="1:60" x14ac:dyDescent="0.2">
      <c r="A71" s="342"/>
      <c r="B71" s="1558" t="s">
        <v>121</v>
      </c>
      <c r="C71" s="1559"/>
      <c r="D71" s="1559"/>
      <c r="E71" s="1559"/>
      <c r="F71" s="1559"/>
      <c r="G71" s="1559"/>
      <c r="H71" s="1559"/>
      <c r="I71" s="1559"/>
      <c r="J71" s="1559"/>
      <c r="K71" s="1559"/>
      <c r="L71" s="1560"/>
      <c r="M71" s="400"/>
      <c r="N71" s="343"/>
      <c r="O71" s="1558" t="s">
        <v>121</v>
      </c>
      <c r="P71" s="1559"/>
      <c r="Q71" s="1559"/>
      <c r="R71" s="1559"/>
      <c r="S71" s="1559"/>
      <c r="T71" s="1559"/>
      <c r="U71" s="1559"/>
      <c r="V71" s="1559"/>
      <c r="W71" s="1559"/>
      <c r="X71" s="1559"/>
      <c r="Y71" s="1560"/>
      <c r="Z71" s="400"/>
      <c r="AA71" s="343"/>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245"/>
      <c r="AC72" s="1009" t="s">
        <v>276</v>
      </c>
      <c r="AD72" s="252" t="b">
        <f>INDEX(TECH_OPT_FUEL2_Cls1,MATCH(RIGHT(O70),TECH_OPT_ROWS_Cls1,0))&lt;&gt;"N/A"</f>
        <v>0</v>
      </c>
    </row>
    <row r="73" spans="1:60" s="246" customFormat="1" ht="14.25" thickTop="1" thickBot="1" x14ac:dyDescent="0.25">
      <c r="A73" s="353" t="s">
        <v>124</v>
      </c>
      <c r="B73" s="358">
        <f t="array" ref="B73:L73">TRANSPOSE(Cls1CentTruckShr)</f>
        <v>7.9460669190030697E-3</v>
      </c>
      <c r="C73" s="359">
        <v>4.9615201402207001E-3</v>
      </c>
      <c r="D73" s="359">
        <v>9.2815995818941767E-3</v>
      </c>
      <c r="E73" s="359">
        <v>3.0833513121077051E-2</v>
      </c>
      <c r="F73" s="359">
        <v>4.3269302277925595E-2</v>
      </c>
      <c r="G73" s="359">
        <v>2.8144935330937017E-2</v>
      </c>
      <c r="H73" s="359">
        <v>6.8990329765143715E-2</v>
      </c>
      <c r="I73" s="359">
        <v>2.4926184998997059E-2</v>
      </c>
      <c r="J73" s="359">
        <v>7.8890239376675012E-3</v>
      </c>
      <c r="K73" s="359">
        <v>3.6046105934191604E-3</v>
      </c>
      <c r="L73" s="396">
        <v>7.5162351043371062E-3</v>
      </c>
      <c r="M73" s="402"/>
      <c r="N73" s="354"/>
      <c r="O73" s="358">
        <f t="array" ref="O73:Y73">TRANSPOSE(Cls1NCentTruckShr)</f>
        <v>1.2963682068270432E-2</v>
      </c>
      <c r="P73" s="359">
        <v>2.3837141813212878E-2</v>
      </c>
      <c r="Q73" s="359">
        <v>2.5768680683356839E-2</v>
      </c>
      <c r="R73" s="359">
        <v>5.7965433078982248E-2</v>
      </c>
      <c r="S73" s="359">
        <v>0.10312619102844889</v>
      </c>
      <c r="T73" s="359">
        <v>0.18550667796975542</v>
      </c>
      <c r="U73" s="359">
        <v>0.21310728355070049</v>
      </c>
      <c r="V73" s="359">
        <v>7.3364250696428643E-2</v>
      </c>
      <c r="W73" s="359">
        <v>1.9856733825595378E-2</v>
      </c>
      <c r="X73" s="359">
        <v>2.1261216059795113E-2</v>
      </c>
      <c r="Y73" s="396">
        <v>2.5879387454831333E-2</v>
      </c>
      <c r="Z73" s="402"/>
      <c r="AA73" s="354"/>
      <c r="AB73" s="1042"/>
      <c r="AC73" s="1009" t="s">
        <v>277</v>
      </c>
      <c r="AD73" s="252">
        <f>MATCH(RIGHT(O70),TECH_OPT_ROWS_Cls1,0)</f>
        <v>2</v>
      </c>
      <c r="AH73"/>
      <c r="AI73"/>
      <c r="AJ73"/>
      <c r="AK73"/>
      <c r="AL73"/>
      <c r="AM73"/>
      <c r="AN73"/>
      <c r="AO73"/>
      <c r="AP73"/>
      <c r="AQ73"/>
      <c r="AR73"/>
      <c r="AS73"/>
      <c r="AT73"/>
      <c r="AU73"/>
    </row>
    <row r="74" spans="1:60" s="246" customFormat="1" x14ac:dyDescent="0.2">
      <c r="A74" s="349" t="s">
        <v>125</v>
      </c>
      <c r="B74" s="1044">
        <f t="array" ref="B74:L74">TRANSPOSE(Cls1CentVMTShr)</f>
        <v>8.9762242961142352E-4</v>
      </c>
      <c r="C74" s="1045">
        <v>1.2044238150123706E-3</v>
      </c>
      <c r="D74" s="1045">
        <v>4.1499109643594731E-3</v>
      </c>
      <c r="E74" s="1045">
        <v>1.9575808105519295E-2</v>
      </c>
      <c r="F74" s="1045">
        <v>3.4523467949689302E-2</v>
      </c>
      <c r="G74" s="1045">
        <v>2.7311948935134379E-2</v>
      </c>
      <c r="H74" s="1045">
        <v>7.6478458482655817E-2</v>
      </c>
      <c r="I74" s="1045">
        <v>3.2480526319280681E-2</v>
      </c>
      <c r="J74" s="1045">
        <v>1.1772940427842455E-2</v>
      </c>
      <c r="K74" s="1045">
        <v>6.0339283082965706E-3</v>
      </c>
      <c r="L74" s="1046">
        <v>1.5952440951210019E-2</v>
      </c>
      <c r="M74" s="406"/>
      <c r="N74" s="352"/>
      <c r="O74" s="1044">
        <f t="array" ref="O74:Y74">TRANSPOSE(Cls1NCentVMTShr)</f>
        <v>1.3589913425833078E-3</v>
      </c>
      <c r="P74" s="1045">
        <v>5.8692629772239642E-3</v>
      </c>
      <c r="Q74" s="1045">
        <v>1.2100393581509007E-2</v>
      </c>
      <c r="R74" s="1045">
        <v>3.6555003327388577E-2</v>
      </c>
      <c r="S74" s="1045">
        <v>8.3148735051829181E-2</v>
      </c>
      <c r="T74" s="1045">
        <v>0.18151138394047112</v>
      </c>
      <c r="U74" s="1045">
        <v>0.2383386372324876</v>
      </c>
      <c r="V74" s="1045">
        <v>9.5602564448196578E-2</v>
      </c>
      <c r="W74" s="1045">
        <v>2.9193025028929166E-2</v>
      </c>
      <c r="X74" s="1045">
        <v>3.5209492159336005E-2</v>
      </c>
      <c r="Y74" s="1046">
        <v>5.0731034221433824E-2</v>
      </c>
      <c r="Z74" s="404"/>
      <c r="AA74" s="352"/>
      <c r="AB74" s="1574" t="str">
        <f>"% of miles on f2 for Tech "&amp; RIGHT(O70)&amp;" adopters"</f>
        <v>% of miles on f2 for Tech A adopters</v>
      </c>
      <c r="AC74" s="1575"/>
      <c r="AD74" s="1576"/>
      <c r="AE74" s="1281" t="s">
        <v>307</v>
      </c>
      <c r="AF74" s="1281"/>
      <c r="AG74" s="1281"/>
      <c r="AH74" s="1282" t="s">
        <v>316</v>
      </c>
      <c r="AI74" s="1283"/>
      <c r="AJ74" s="1278"/>
      <c r="AK74"/>
      <c r="AL74"/>
      <c r="AM74"/>
      <c r="AN74"/>
      <c r="AO74"/>
      <c r="AP74"/>
      <c r="AQ74"/>
      <c r="AR74"/>
      <c r="AS74"/>
      <c r="AT74"/>
      <c r="AU74"/>
    </row>
    <row r="75" spans="1:60" ht="13.5" thickBot="1" x14ac:dyDescent="0.25">
      <c r="A75" s="1048" t="s">
        <v>275</v>
      </c>
      <c r="B75" s="1039">
        <f t="array" ref="B75:L75">TRANSPOSE(Cls1CentVMT/OPDAYS_Cls1)</f>
        <v>51.642967609234425</v>
      </c>
      <c r="C75" s="1040">
        <v>110.97733417848234</v>
      </c>
      <c r="D75" s="1040">
        <v>204.40224583551472</v>
      </c>
      <c r="E75" s="1040">
        <v>290.24610572847212</v>
      </c>
      <c r="F75" s="1040">
        <v>364.75750419264841</v>
      </c>
      <c r="G75" s="1040">
        <v>443.63126889109378</v>
      </c>
      <c r="H75" s="1040">
        <v>506.78134229373978</v>
      </c>
      <c r="I75" s="1040">
        <v>595.71283413609137</v>
      </c>
      <c r="J75" s="1040">
        <v>682.23089916089702</v>
      </c>
      <c r="K75" s="1040">
        <v>765.26438827532684</v>
      </c>
      <c r="L75" s="1041">
        <v>970.27871027310334</v>
      </c>
      <c r="M75" s="1037"/>
      <c r="N75" s="1038"/>
      <c r="O75" s="1039">
        <f t="array" ref="O75:Y75">TRANSPOSE(Cls1NCentVMT/OPDAYS_Cls1)</f>
        <v>47.924548633512046</v>
      </c>
      <c r="P75" s="1040">
        <v>112.56389213862748</v>
      </c>
      <c r="Q75" s="1040">
        <v>214.67280220238027</v>
      </c>
      <c r="R75" s="1040">
        <v>288.30186744262801</v>
      </c>
      <c r="S75" s="1040">
        <v>368.60089210549245</v>
      </c>
      <c r="T75" s="1040">
        <v>447.31558789932524</v>
      </c>
      <c r="U75" s="1040">
        <v>511.28831950097862</v>
      </c>
      <c r="V75" s="1040">
        <v>595.73726658362273</v>
      </c>
      <c r="W75" s="1040">
        <v>672.11099195240695</v>
      </c>
      <c r="X75" s="1040">
        <v>757.0793017898726</v>
      </c>
      <c r="Y75" s="1041">
        <v>896.16800791754974</v>
      </c>
      <c r="Z75" s="1049"/>
      <c r="AA75" s="1038"/>
      <c r="AB75" s="1051" t="s">
        <v>188</v>
      </c>
      <c r="AC75" s="1052" t="s">
        <v>15</v>
      </c>
      <c r="AD75" s="1053" t="s">
        <v>18</v>
      </c>
      <c r="AE75" s="1043" t="s">
        <v>188</v>
      </c>
      <c r="AF75" s="1043" t="s">
        <v>15</v>
      </c>
      <c r="AG75" s="1043" t="s">
        <v>18</v>
      </c>
      <c r="AH75" s="1280" t="s">
        <v>188</v>
      </c>
      <c r="AI75" s="1043" t="s">
        <v>15</v>
      </c>
      <c r="AJ75"/>
      <c r="AK75"/>
      <c r="AL75"/>
      <c r="AM75"/>
      <c r="AN75"/>
      <c r="AO75"/>
      <c r="AP75"/>
      <c r="AQ75"/>
      <c r="AR75"/>
      <c r="AS75"/>
      <c r="AT75"/>
      <c r="AU75"/>
    </row>
    <row r="76" spans="1:60" ht="13.5" thickTop="1" x14ac:dyDescent="0.2">
      <c r="A76" s="1047">
        <v>2007</v>
      </c>
      <c r="B76" s="360">
        <v>0</v>
      </c>
      <c r="C76" s="361">
        <v>0</v>
      </c>
      <c r="D76" s="361">
        <v>0</v>
      </c>
      <c r="E76" s="361">
        <v>0</v>
      </c>
      <c r="F76" s="361">
        <v>0</v>
      </c>
      <c r="G76" s="361">
        <v>0</v>
      </c>
      <c r="H76" s="361">
        <v>0</v>
      </c>
      <c r="I76" s="361">
        <v>0</v>
      </c>
      <c r="J76" s="361">
        <v>0</v>
      </c>
      <c r="K76" s="361">
        <v>0</v>
      </c>
      <c r="L76" s="397">
        <v>0</v>
      </c>
      <c r="M76" s="300">
        <f t="shared" ref="M76:M119" si="80">SUMPRODUCT($B$74:$L$74,$B76:$L76)</f>
        <v>0</v>
      </c>
      <c r="N76" s="302">
        <f t="shared" ref="N76:N119" si="81">SUMPRODUCT($B$73:$L$73,$B76:$L76)</f>
        <v>0</v>
      </c>
      <c r="O76" s="360">
        <v>0</v>
      </c>
      <c r="P76" s="361">
        <v>0</v>
      </c>
      <c r="Q76" s="361">
        <v>0</v>
      </c>
      <c r="R76" s="361">
        <v>0</v>
      </c>
      <c r="S76" s="361">
        <v>0</v>
      </c>
      <c r="T76" s="361">
        <v>0</v>
      </c>
      <c r="U76" s="361">
        <v>0</v>
      </c>
      <c r="V76" s="361">
        <v>0</v>
      </c>
      <c r="W76" s="361">
        <v>0</v>
      </c>
      <c r="X76" s="361">
        <v>0</v>
      </c>
      <c r="Y76" s="397">
        <v>0</v>
      </c>
      <c r="Z76" s="300">
        <f t="shared" ref="Z76:Z119" si="82">SUMPRODUCT($O$74:$Y$74,$O76:$Y76)</f>
        <v>0</v>
      </c>
      <c r="AA76" s="302">
        <f t="shared" ref="AA76:AA119" si="83">SUMPRODUCT($O$73:$Y$73,$O76:$Y76)</f>
        <v>0</v>
      </c>
      <c r="AB76" s="1054">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1055">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334">
        <f t="shared" ref="AD76:AD101" si="84">AB76*AH76+AC76*AI76</f>
        <v>0</v>
      </c>
      <c r="AE76" s="1043">
        <f t="shared" ref="AE76:AE90" si="85">SUMPRODUCT($B$74:$L$74,B76:L76)</f>
        <v>0</v>
      </c>
      <c r="AF76" s="1043">
        <f t="shared" ref="AF76:AF90" si="86">SUMPRODUCT($O$74:$Y$74,O76:Y76)</f>
        <v>0</v>
      </c>
      <c r="AG76" s="1043">
        <f t="shared" ref="AG76:AG90" si="87">SUM(AE76:AF76)</f>
        <v>0</v>
      </c>
      <c r="AH76" s="1280">
        <f>IF(AG76&gt;0,AE76/AG76,0)</f>
        <v>0</v>
      </c>
      <c r="AI76" s="1043">
        <f>IF(AG76&gt;0,AF76/AG76,0)</f>
        <v>0</v>
      </c>
      <c r="AJ76"/>
      <c r="AK76"/>
      <c r="AL76"/>
      <c r="AM76" s="1279"/>
      <c r="AN76"/>
      <c r="AO76"/>
      <c r="AP76"/>
      <c r="AQ76"/>
      <c r="AR76"/>
      <c r="AS76"/>
      <c r="AT76"/>
      <c r="AU76"/>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si="80"/>
        <v>0</v>
      </c>
      <c r="N77" s="316">
        <f t="shared" si="81"/>
        <v>0</v>
      </c>
      <c r="O77" s="362">
        <v>0</v>
      </c>
      <c r="P77" s="363">
        <v>0</v>
      </c>
      <c r="Q77" s="363">
        <v>0</v>
      </c>
      <c r="R77" s="363">
        <v>0</v>
      </c>
      <c r="S77" s="363">
        <v>0</v>
      </c>
      <c r="T77" s="363">
        <v>0</v>
      </c>
      <c r="U77" s="363">
        <v>0</v>
      </c>
      <c r="V77" s="363">
        <v>0</v>
      </c>
      <c r="W77" s="363">
        <v>0</v>
      </c>
      <c r="X77" s="363">
        <v>0</v>
      </c>
      <c r="Y77" s="398">
        <v>0</v>
      </c>
      <c r="Z77" s="314">
        <f t="shared" si="82"/>
        <v>0</v>
      </c>
      <c r="AA77" s="316">
        <f t="shared" si="83"/>
        <v>0</v>
      </c>
      <c r="AB77" s="1054">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1055">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334">
        <f t="shared" si="84"/>
        <v>0</v>
      </c>
      <c r="AE77" s="1043">
        <f t="shared" si="85"/>
        <v>0</v>
      </c>
      <c r="AF77" s="1043">
        <f t="shared" si="86"/>
        <v>0</v>
      </c>
      <c r="AG77" s="1043">
        <f t="shared" si="87"/>
        <v>0</v>
      </c>
      <c r="AH77" s="1280">
        <f t="shared" ref="AH77:AH119" si="88">IF(AG77&gt;0,AE77/AG77,0)</f>
        <v>0</v>
      </c>
      <c r="AI77" s="1043">
        <f t="shared" ref="AI77:AI119" si="89">IF(AG77&gt;0,AF77/AG77,0)</f>
        <v>0</v>
      </c>
      <c r="AJ77"/>
      <c r="AK77"/>
      <c r="AL77"/>
      <c r="AM77" s="1279"/>
      <c r="AN77"/>
      <c r="AO77"/>
      <c r="AP77"/>
      <c r="AQ77"/>
      <c r="AR77"/>
      <c r="AS77"/>
      <c r="AT77"/>
      <c r="AU77"/>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80"/>
        <v>0</v>
      </c>
      <c r="N78" s="316">
        <f t="shared" si="81"/>
        <v>0</v>
      </c>
      <c r="O78" s="362">
        <v>0</v>
      </c>
      <c r="P78" s="363">
        <v>0</v>
      </c>
      <c r="Q78" s="363">
        <v>0</v>
      </c>
      <c r="R78" s="363">
        <v>0</v>
      </c>
      <c r="S78" s="363">
        <v>0</v>
      </c>
      <c r="T78" s="363">
        <v>0</v>
      </c>
      <c r="U78" s="363">
        <v>0</v>
      </c>
      <c r="V78" s="363">
        <v>0</v>
      </c>
      <c r="W78" s="363">
        <v>0</v>
      </c>
      <c r="X78" s="363">
        <v>0</v>
      </c>
      <c r="Y78" s="398">
        <v>0</v>
      </c>
      <c r="Z78" s="314">
        <f t="shared" si="82"/>
        <v>0</v>
      </c>
      <c r="AA78" s="316">
        <f t="shared" si="83"/>
        <v>0</v>
      </c>
      <c r="AB78" s="1054">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1055">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334">
        <f t="shared" si="84"/>
        <v>0</v>
      </c>
      <c r="AE78" s="1043">
        <f t="shared" si="85"/>
        <v>0</v>
      </c>
      <c r="AF78" s="1043">
        <f t="shared" si="86"/>
        <v>0</v>
      </c>
      <c r="AG78" s="1043">
        <f t="shared" si="87"/>
        <v>0</v>
      </c>
      <c r="AH78" s="1280">
        <f t="shared" si="88"/>
        <v>0</v>
      </c>
      <c r="AI78" s="1043">
        <f t="shared" si="89"/>
        <v>0</v>
      </c>
      <c r="AJ78"/>
      <c r="AK78"/>
      <c r="AL78"/>
      <c r="AM78" s="1279"/>
      <c r="AN78"/>
      <c r="AO78"/>
      <c r="AP78"/>
      <c r="AQ78"/>
      <c r="AR78"/>
      <c r="AS78"/>
      <c r="AT78"/>
      <c r="AU78"/>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80"/>
        <v>0</v>
      </c>
      <c r="N79" s="330">
        <f t="shared" si="81"/>
        <v>0</v>
      </c>
      <c r="O79" s="364">
        <v>0</v>
      </c>
      <c r="P79" s="365">
        <v>0</v>
      </c>
      <c r="Q79" s="365">
        <v>0</v>
      </c>
      <c r="R79" s="365">
        <v>0</v>
      </c>
      <c r="S79" s="365">
        <v>0</v>
      </c>
      <c r="T79" s="365">
        <v>0</v>
      </c>
      <c r="U79" s="365">
        <v>0</v>
      </c>
      <c r="V79" s="365">
        <v>0</v>
      </c>
      <c r="W79" s="365">
        <v>0</v>
      </c>
      <c r="X79" s="365">
        <v>0</v>
      </c>
      <c r="Y79" s="399">
        <v>0</v>
      </c>
      <c r="Z79" s="328">
        <f t="shared" si="82"/>
        <v>0</v>
      </c>
      <c r="AA79" s="330">
        <f t="shared" si="83"/>
        <v>0</v>
      </c>
      <c r="AB79" s="1054">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1055">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334">
        <f t="shared" si="84"/>
        <v>0</v>
      </c>
      <c r="AE79" s="1043">
        <f t="shared" si="85"/>
        <v>0</v>
      </c>
      <c r="AF79" s="1043">
        <f t="shared" si="86"/>
        <v>0</v>
      </c>
      <c r="AG79" s="1043">
        <f t="shared" si="87"/>
        <v>0</v>
      </c>
      <c r="AH79" s="1280">
        <f t="shared" si="88"/>
        <v>0</v>
      </c>
      <c r="AI79" s="1043">
        <f t="shared" si="89"/>
        <v>0</v>
      </c>
      <c r="AJ79" s="1277"/>
      <c r="AK79" s="1277"/>
      <c r="AL79" s="1277"/>
      <c r="AM79" s="1279"/>
      <c r="AN79" s="1277"/>
      <c r="AO79" s="1277"/>
      <c r="AP79" s="1277"/>
      <c r="AQ79" s="1277"/>
      <c r="AR79" s="1277"/>
      <c r="AS79" s="1277"/>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80"/>
        <v>0</v>
      </c>
      <c r="N80" s="302">
        <f t="shared" si="81"/>
        <v>0</v>
      </c>
      <c r="O80" s="360">
        <v>0</v>
      </c>
      <c r="P80" s="361">
        <v>0</v>
      </c>
      <c r="Q80" s="361">
        <v>0</v>
      </c>
      <c r="R80" s="361">
        <v>0</v>
      </c>
      <c r="S80" s="361">
        <v>0</v>
      </c>
      <c r="T80" s="361">
        <v>0</v>
      </c>
      <c r="U80" s="361">
        <v>0</v>
      </c>
      <c r="V80" s="361">
        <v>0</v>
      </c>
      <c r="W80" s="361">
        <v>0</v>
      </c>
      <c r="X80" s="361">
        <v>0</v>
      </c>
      <c r="Y80" s="397">
        <v>0</v>
      </c>
      <c r="Z80" s="300">
        <f t="shared" si="82"/>
        <v>0</v>
      </c>
      <c r="AA80" s="302">
        <f t="shared" si="83"/>
        <v>0</v>
      </c>
      <c r="AB80" s="1054">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1055">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334">
        <f t="shared" si="84"/>
        <v>0</v>
      </c>
      <c r="AE80" s="1043">
        <f t="shared" si="85"/>
        <v>0</v>
      </c>
      <c r="AF80" s="1043">
        <f t="shared" si="86"/>
        <v>0</v>
      </c>
      <c r="AG80" s="1043">
        <f t="shared" si="87"/>
        <v>0</v>
      </c>
      <c r="AH80" s="1280">
        <f t="shared" si="88"/>
        <v>0</v>
      </c>
      <c r="AI80" s="1043">
        <f t="shared" si="89"/>
        <v>0</v>
      </c>
      <c r="AJ80" s="1277"/>
      <c r="AK80" s="1277"/>
      <c r="AL80" s="1277"/>
      <c r="AM80" s="1279"/>
      <c r="AN80" s="1277"/>
      <c r="AO80" s="1277"/>
      <c r="AP80" s="1277"/>
      <c r="AQ80" s="1277"/>
      <c r="AR80" s="1277"/>
      <c r="AS80" s="1277"/>
    </row>
    <row r="81" spans="1:45" x14ac:dyDescent="0.2">
      <c r="A81" s="348">
        <v>2012</v>
      </c>
      <c r="B81" s="362">
        <v>0</v>
      </c>
      <c r="C81" s="363">
        <v>0</v>
      </c>
      <c r="D81" s="363">
        <v>0</v>
      </c>
      <c r="E81" s="363">
        <v>0</v>
      </c>
      <c r="F81" s="363">
        <v>0</v>
      </c>
      <c r="G81" s="363">
        <v>0</v>
      </c>
      <c r="H81" s="363">
        <v>0</v>
      </c>
      <c r="I81" s="363">
        <v>0</v>
      </c>
      <c r="J81" s="363">
        <v>0</v>
      </c>
      <c r="K81" s="363">
        <v>0</v>
      </c>
      <c r="L81" s="398">
        <v>0</v>
      </c>
      <c r="M81" s="314">
        <f t="shared" si="80"/>
        <v>0</v>
      </c>
      <c r="N81" s="316">
        <f t="shared" si="81"/>
        <v>0</v>
      </c>
      <c r="O81" s="362">
        <v>0</v>
      </c>
      <c r="P81" s="363">
        <v>0</v>
      </c>
      <c r="Q81" s="363">
        <v>0</v>
      </c>
      <c r="R81" s="363">
        <v>0</v>
      </c>
      <c r="S81" s="363">
        <v>0</v>
      </c>
      <c r="T81" s="363">
        <v>0</v>
      </c>
      <c r="U81" s="363">
        <v>0</v>
      </c>
      <c r="V81" s="363">
        <v>0</v>
      </c>
      <c r="W81" s="363">
        <v>0</v>
      </c>
      <c r="X81" s="363">
        <v>0</v>
      </c>
      <c r="Y81" s="398">
        <v>0</v>
      </c>
      <c r="Z81" s="314">
        <f t="shared" si="82"/>
        <v>0</v>
      </c>
      <c r="AA81" s="316">
        <f t="shared" si="83"/>
        <v>0</v>
      </c>
      <c r="AB81" s="1054">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1055">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334">
        <f t="shared" si="84"/>
        <v>0</v>
      </c>
      <c r="AE81" s="1043">
        <f t="shared" si="85"/>
        <v>0</v>
      </c>
      <c r="AF81" s="1043">
        <f t="shared" si="86"/>
        <v>0</v>
      </c>
      <c r="AG81" s="1043">
        <f t="shared" si="87"/>
        <v>0</v>
      </c>
      <c r="AH81" s="1280">
        <f t="shared" si="88"/>
        <v>0</v>
      </c>
      <c r="AI81" s="1043">
        <f t="shared" si="89"/>
        <v>0</v>
      </c>
      <c r="AJ81" s="1277"/>
      <c r="AK81" s="1277"/>
      <c r="AL81" s="1277"/>
      <c r="AM81" s="1279"/>
      <c r="AN81" s="1277"/>
      <c r="AO81" s="1277"/>
      <c r="AP81" s="1277"/>
      <c r="AQ81" s="1277"/>
      <c r="AR81" s="1277"/>
      <c r="AS81" s="1277"/>
    </row>
    <row r="82" spans="1:45" x14ac:dyDescent="0.2">
      <c r="A82" s="348">
        <v>2013</v>
      </c>
      <c r="B82" s="362">
        <v>0</v>
      </c>
      <c r="C82" s="363">
        <v>0</v>
      </c>
      <c r="D82" s="363">
        <v>0</v>
      </c>
      <c r="E82" s="363">
        <v>0</v>
      </c>
      <c r="F82" s="363">
        <v>0</v>
      </c>
      <c r="G82" s="363">
        <v>0</v>
      </c>
      <c r="H82" s="363">
        <v>0</v>
      </c>
      <c r="I82" s="363">
        <v>0</v>
      </c>
      <c r="J82" s="363">
        <v>0</v>
      </c>
      <c r="K82" s="363">
        <v>0</v>
      </c>
      <c r="L82" s="398">
        <v>0</v>
      </c>
      <c r="M82" s="314">
        <f t="shared" si="80"/>
        <v>0</v>
      </c>
      <c r="N82" s="316">
        <f t="shared" si="81"/>
        <v>0</v>
      </c>
      <c r="O82" s="362">
        <v>0</v>
      </c>
      <c r="P82" s="363">
        <v>0</v>
      </c>
      <c r="Q82" s="363">
        <v>0</v>
      </c>
      <c r="R82" s="363">
        <v>0</v>
      </c>
      <c r="S82" s="363">
        <v>0</v>
      </c>
      <c r="T82" s="363">
        <v>0</v>
      </c>
      <c r="U82" s="363">
        <v>0</v>
      </c>
      <c r="V82" s="363">
        <v>0</v>
      </c>
      <c r="W82" s="363">
        <v>0</v>
      </c>
      <c r="X82" s="363">
        <v>0</v>
      </c>
      <c r="Y82" s="398">
        <v>0</v>
      </c>
      <c r="Z82" s="314">
        <f t="shared" si="82"/>
        <v>0</v>
      </c>
      <c r="AA82" s="316">
        <f t="shared" si="83"/>
        <v>0</v>
      </c>
      <c r="AB82" s="1054">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1055">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334">
        <f t="shared" si="84"/>
        <v>0</v>
      </c>
      <c r="AE82" s="1043">
        <f t="shared" si="85"/>
        <v>0</v>
      </c>
      <c r="AF82" s="1043">
        <f t="shared" si="86"/>
        <v>0</v>
      </c>
      <c r="AG82" s="1043">
        <f t="shared" si="87"/>
        <v>0</v>
      </c>
      <c r="AH82" s="1280">
        <f t="shared" si="88"/>
        <v>0</v>
      </c>
      <c r="AI82" s="1043">
        <f t="shared" si="89"/>
        <v>0</v>
      </c>
      <c r="AJ82" s="1277"/>
      <c r="AK82" s="1277"/>
      <c r="AL82" s="1277"/>
      <c r="AM82" s="1279"/>
      <c r="AN82" s="1277"/>
      <c r="AO82" s="1277"/>
      <c r="AP82" s="1277"/>
      <c r="AQ82" s="1277"/>
      <c r="AR82" s="1277"/>
      <c r="AS82" s="1277"/>
    </row>
    <row r="83" spans="1:45" x14ac:dyDescent="0.2">
      <c r="A83" s="348">
        <v>2014</v>
      </c>
      <c r="B83" s="362">
        <v>0</v>
      </c>
      <c r="C83" s="363">
        <v>0</v>
      </c>
      <c r="D83" s="363">
        <v>0</v>
      </c>
      <c r="E83" s="363">
        <v>0</v>
      </c>
      <c r="F83" s="363">
        <v>0</v>
      </c>
      <c r="G83" s="363">
        <v>0</v>
      </c>
      <c r="H83" s="363">
        <v>0</v>
      </c>
      <c r="I83" s="363">
        <v>0</v>
      </c>
      <c r="J83" s="363">
        <v>0</v>
      </c>
      <c r="K83" s="363">
        <v>0</v>
      </c>
      <c r="L83" s="398">
        <v>0</v>
      </c>
      <c r="M83" s="314">
        <f t="shared" si="80"/>
        <v>0</v>
      </c>
      <c r="N83" s="316">
        <f t="shared" si="81"/>
        <v>0</v>
      </c>
      <c r="O83" s="362">
        <v>0</v>
      </c>
      <c r="P83" s="363">
        <v>0</v>
      </c>
      <c r="Q83" s="363">
        <v>0</v>
      </c>
      <c r="R83" s="363">
        <v>0</v>
      </c>
      <c r="S83" s="363">
        <v>0</v>
      </c>
      <c r="T83" s="363">
        <v>0</v>
      </c>
      <c r="U83" s="363">
        <v>0</v>
      </c>
      <c r="V83" s="363">
        <v>0</v>
      </c>
      <c r="W83" s="363">
        <v>0</v>
      </c>
      <c r="X83" s="363">
        <v>0</v>
      </c>
      <c r="Y83" s="398">
        <v>0</v>
      </c>
      <c r="Z83" s="314">
        <f t="shared" si="82"/>
        <v>0</v>
      </c>
      <c r="AA83" s="316">
        <f t="shared" si="83"/>
        <v>0</v>
      </c>
      <c r="AB83" s="1054">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1055">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334">
        <f t="shared" si="84"/>
        <v>0</v>
      </c>
      <c r="AE83" s="1043">
        <f t="shared" si="85"/>
        <v>0</v>
      </c>
      <c r="AF83" s="1043">
        <f t="shared" si="86"/>
        <v>0</v>
      </c>
      <c r="AG83" s="1043">
        <f t="shared" si="87"/>
        <v>0</v>
      </c>
      <c r="AH83" s="1280">
        <f t="shared" si="88"/>
        <v>0</v>
      </c>
      <c r="AI83" s="1043">
        <f t="shared" si="89"/>
        <v>0</v>
      </c>
      <c r="AJ83" s="1277"/>
      <c r="AK83" s="1277"/>
      <c r="AL83" s="1277"/>
      <c r="AM83" s="1279"/>
      <c r="AN83" s="1277"/>
      <c r="AO83" s="1277"/>
      <c r="AP83" s="1277"/>
      <c r="AQ83" s="1277"/>
      <c r="AR83" s="1277"/>
      <c r="AS83" s="1277"/>
    </row>
    <row r="84" spans="1:45" ht="13.5" thickBot="1" x14ac:dyDescent="0.25">
      <c r="A84" s="346">
        <v>2015</v>
      </c>
      <c r="B84" s="364">
        <v>0</v>
      </c>
      <c r="C84" s="365">
        <v>0</v>
      </c>
      <c r="D84" s="365">
        <v>0</v>
      </c>
      <c r="E84" s="365">
        <v>0</v>
      </c>
      <c r="F84" s="365">
        <v>0</v>
      </c>
      <c r="G84" s="365">
        <v>0</v>
      </c>
      <c r="H84" s="365">
        <v>0</v>
      </c>
      <c r="I84" s="365">
        <v>0</v>
      </c>
      <c r="J84" s="365">
        <v>0</v>
      </c>
      <c r="K84" s="365">
        <v>0</v>
      </c>
      <c r="L84" s="399">
        <v>0</v>
      </c>
      <c r="M84" s="328">
        <f t="shared" si="80"/>
        <v>0</v>
      </c>
      <c r="N84" s="330">
        <f t="shared" si="81"/>
        <v>0</v>
      </c>
      <c r="O84" s="364">
        <v>0</v>
      </c>
      <c r="P84" s="365">
        <v>0</v>
      </c>
      <c r="Q84" s="365">
        <v>0</v>
      </c>
      <c r="R84" s="365">
        <v>0</v>
      </c>
      <c r="S84" s="365">
        <v>0</v>
      </c>
      <c r="T84" s="365">
        <v>0</v>
      </c>
      <c r="U84" s="365">
        <v>0</v>
      </c>
      <c r="V84" s="365">
        <v>0</v>
      </c>
      <c r="W84" s="365">
        <v>0</v>
      </c>
      <c r="X84" s="365">
        <v>0</v>
      </c>
      <c r="Y84" s="399">
        <v>0</v>
      </c>
      <c r="Z84" s="328">
        <f t="shared" si="82"/>
        <v>0</v>
      </c>
      <c r="AA84" s="330">
        <f t="shared" si="83"/>
        <v>0</v>
      </c>
      <c r="AB84" s="1054">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1055">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334">
        <f t="shared" si="84"/>
        <v>0</v>
      </c>
      <c r="AE84" s="1043">
        <f t="shared" si="85"/>
        <v>0</v>
      </c>
      <c r="AF84" s="1043">
        <f t="shared" si="86"/>
        <v>0</v>
      </c>
      <c r="AG84" s="1043">
        <f t="shared" si="87"/>
        <v>0</v>
      </c>
      <c r="AH84" s="1280">
        <f t="shared" si="88"/>
        <v>0</v>
      </c>
      <c r="AI84" s="1043">
        <f t="shared" si="89"/>
        <v>0</v>
      </c>
      <c r="AJ84" s="1277"/>
      <c r="AK84" s="1277"/>
      <c r="AL84" s="1277"/>
      <c r="AM84" s="1279"/>
      <c r="AN84" s="1277"/>
      <c r="AO84" s="1277"/>
      <c r="AP84" s="1277"/>
      <c r="AQ84" s="1277"/>
      <c r="AR84" s="1277"/>
      <c r="AS84" s="1277"/>
    </row>
    <row r="85" spans="1:45" x14ac:dyDescent="0.2">
      <c r="A85" s="347">
        <v>2016</v>
      </c>
      <c r="B85" s="360">
        <v>0</v>
      </c>
      <c r="C85" s="361">
        <v>0</v>
      </c>
      <c r="D85" s="361">
        <v>0</v>
      </c>
      <c r="E85" s="361">
        <v>0</v>
      </c>
      <c r="F85" s="361">
        <v>0</v>
      </c>
      <c r="G85" s="361">
        <v>0</v>
      </c>
      <c r="H85" s="361">
        <v>0</v>
      </c>
      <c r="I85" s="361">
        <v>0</v>
      </c>
      <c r="J85" s="361">
        <v>0</v>
      </c>
      <c r="K85" s="361">
        <v>0</v>
      </c>
      <c r="L85" s="397">
        <v>0</v>
      </c>
      <c r="M85" s="300">
        <f t="shared" si="80"/>
        <v>0</v>
      </c>
      <c r="N85" s="302">
        <f t="shared" si="81"/>
        <v>0</v>
      </c>
      <c r="O85" s="360">
        <v>0</v>
      </c>
      <c r="P85" s="361">
        <v>0</v>
      </c>
      <c r="Q85" s="361">
        <v>0</v>
      </c>
      <c r="R85" s="361">
        <v>0</v>
      </c>
      <c r="S85" s="361">
        <v>0</v>
      </c>
      <c r="T85" s="361">
        <v>0</v>
      </c>
      <c r="U85" s="361">
        <v>0</v>
      </c>
      <c r="V85" s="361">
        <v>0</v>
      </c>
      <c r="W85" s="361">
        <v>0</v>
      </c>
      <c r="X85" s="361">
        <v>0</v>
      </c>
      <c r="Y85" s="397">
        <v>0</v>
      </c>
      <c r="Z85" s="300">
        <f t="shared" si="82"/>
        <v>0</v>
      </c>
      <c r="AA85" s="302">
        <f t="shared" si="83"/>
        <v>0</v>
      </c>
      <c r="AB85" s="1054">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1055">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334">
        <f t="shared" si="84"/>
        <v>0</v>
      </c>
      <c r="AE85" s="1043">
        <f t="shared" si="85"/>
        <v>0</v>
      </c>
      <c r="AF85" s="1043">
        <f t="shared" si="86"/>
        <v>0</v>
      </c>
      <c r="AG85" s="1043">
        <f t="shared" si="87"/>
        <v>0</v>
      </c>
      <c r="AH85" s="1280">
        <f t="shared" si="88"/>
        <v>0</v>
      </c>
      <c r="AI85" s="1043">
        <f t="shared" si="89"/>
        <v>0</v>
      </c>
      <c r="AJ85" s="1277"/>
      <c r="AK85" s="1277"/>
      <c r="AL85" s="1277"/>
      <c r="AM85" s="1279"/>
      <c r="AN85" s="1277"/>
      <c r="AO85" s="1277"/>
      <c r="AP85" s="1277"/>
      <c r="AQ85" s="1277"/>
      <c r="AR85" s="1277"/>
      <c r="AS85" s="1277"/>
    </row>
    <row r="86" spans="1:45" x14ac:dyDescent="0.2">
      <c r="A86" s="348">
        <v>2017</v>
      </c>
      <c r="B86" s="362">
        <v>0</v>
      </c>
      <c r="C86" s="363">
        <v>0</v>
      </c>
      <c r="D86" s="363">
        <v>0</v>
      </c>
      <c r="E86" s="363">
        <v>0</v>
      </c>
      <c r="F86" s="363">
        <v>0</v>
      </c>
      <c r="G86" s="363">
        <v>0</v>
      </c>
      <c r="H86" s="363">
        <v>0</v>
      </c>
      <c r="I86" s="363">
        <v>0</v>
      </c>
      <c r="J86" s="363">
        <v>0</v>
      </c>
      <c r="K86" s="363">
        <v>0</v>
      </c>
      <c r="L86" s="398">
        <v>0</v>
      </c>
      <c r="M86" s="314">
        <f t="shared" si="80"/>
        <v>0</v>
      </c>
      <c r="N86" s="316">
        <f t="shared" si="81"/>
        <v>0</v>
      </c>
      <c r="O86" s="362">
        <v>0</v>
      </c>
      <c r="P86" s="363">
        <v>0</v>
      </c>
      <c r="Q86" s="363">
        <v>0</v>
      </c>
      <c r="R86" s="363">
        <v>0</v>
      </c>
      <c r="S86" s="363">
        <v>0</v>
      </c>
      <c r="T86" s="363">
        <v>0</v>
      </c>
      <c r="U86" s="363">
        <v>0</v>
      </c>
      <c r="V86" s="363">
        <v>0</v>
      </c>
      <c r="W86" s="363">
        <v>0</v>
      </c>
      <c r="X86" s="363">
        <v>0</v>
      </c>
      <c r="Y86" s="398">
        <v>0</v>
      </c>
      <c r="Z86" s="314">
        <f t="shared" si="82"/>
        <v>0</v>
      </c>
      <c r="AA86" s="316">
        <f t="shared" si="83"/>
        <v>0</v>
      </c>
      <c r="AB86" s="1054">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1055">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334">
        <f t="shared" si="84"/>
        <v>0</v>
      </c>
      <c r="AE86" s="1043">
        <f t="shared" si="85"/>
        <v>0</v>
      </c>
      <c r="AF86" s="1043">
        <f t="shared" si="86"/>
        <v>0</v>
      </c>
      <c r="AG86" s="1043">
        <f t="shared" si="87"/>
        <v>0</v>
      </c>
      <c r="AH86" s="1280">
        <f t="shared" si="88"/>
        <v>0</v>
      </c>
      <c r="AI86" s="1043">
        <f t="shared" si="89"/>
        <v>0</v>
      </c>
      <c r="AJ86" s="1277"/>
      <c r="AK86" s="1277"/>
      <c r="AL86" s="1277"/>
      <c r="AM86" s="1279"/>
      <c r="AN86" s="1277"/>
      <c r="AO86" s="1277"/>
      <c r="AP86" s="1277"/>
      <c r="AQ86" s="1277"/>
      <c r="AR86" s="1277"/>
      <c r="AS86" s="1277"/>
    </row>
    <row r="87" spans="1:45" x14ac:dyDescent="0.2">
      <c r="A87" s="348">
        <v>2018</v>
      </c>
      <c r="B87" s="362">
        <v>0</v>
      </c>
      <c r="C87" s="363">
        <v>0</v>
      </c>
      <c r="D87" s="363">
        <v>0</v>
      </c>
      <c r="E87" s="363">
        <v>0</v>
      </c>
      <c r="F87" s="363">
        <v>0</v>
      </c>
      <c r="G87" s="363">
        <v>0</v>
      </c>
      <c r="H87" s="363">
        <v>0</v>
      </c>
      <c r="I87" s="363">
        <v>0</v>
      </c>
      <c r="J87" s="363">
        <v>0</v>
      </c>
      <c r="K87" s="363">
        <v>0</v>
      </c>
      <c r="L87" s="398">
        <v>0</v>
      </c>
      <c r="M87" s="314">
        <f t="shared" si="80"/>
        <v>0</v>
      </c>
      <c r="N87" s="316">
        <f t="shared" si="81"/>
        <v>0</v>
      </c>
      <c r="O87" s="362">
        <v>0</v>
      </c>
      <c r="P87" s="363">
        <v>0</v>
      </c>
      <c r="Q87" s="363">
        <v>0</v>
      </c>
      <c r="R87" s="363">
        <v>0</v>
      </c>
      <c r="S87" s="363">
        <v>0</v>
      </c>
      <c r="T87" s="363">
        <v>0</v>
      </c>
      <c r="U87" s="363">
        <v>0</v>
      </c>
      <c r="V87" s="363">
        <v>0</v>
      </c>
      <c r="W87" s="363">
        <v>0</v>
      </c>
      <c r="X87" s="363">
        <v>0</v>
      </c>
      <c r="Y87" s="398">
        <v>0</v>
      </c>
      <c r="Z87" s="314">
        <f t="shared" si="82"/>
        <v>0</v>
      </c>
      <c r="AA87" s="316">
        <f t="shared" si="83"/>
        <v>0</v>
      </c>
      <c r="AB87" s="1054">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1055">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334">
        <f t="shared" si="84"/>
        <v>0</v>
      </c>
      <c r="AE87" s="1043">
        <f t="shared" si="85"/>
        <v>0</v>
      </c>
      <c r="AF87" s="1043">
        <f t="shared" si="86"/>
        <v>0</v>
      </c>
      <c r="AG87" s="1043">
        <f t="shared" si="87"/>
        <v>0</v>
      </c>
      <c r="AH87" s="1280">
        <f t="shared" si="88"/>
        <v>0</v>
      </c>
      <c r="AI87" s="1043">
        <f t="shared" si="89"/>
        <v>0</v>
      </c>
      <c r="AJ87" s="1277"/>
      <c r="AK87" s="1277"/>
      <c r="AL87" s="1277"/>
      <c r="AM87" s="1279"/>
      <c r="AN87" s="1277"/>
      <c r="AO87" s="1277"/>
      <c r="AP87" s="1277"/>
      <c r="AQ87" s="1277"/>
      <c r="AR87" s="1277"/>
      <c r="AS87" s="1277"/>
    </row>
    <row r="88" spans="1:45" x14ac:dyDescent="0.2">
      <c r="A88" s="348">
        <v>2019</v>
      </c>
      <c r="B88" s="362">
        <v>0</v>
      </c>
      <c r="C88" s="363">
        <v>0</v>
      </c>
      <c r="D88" s="363">
        <v>0</v>
      </c>
      <c r="E88" s="363">
        <v>0</v>
      </c>
      <c r="F88" s="363">
        <v>0</v>
      </c>
      <c r="G88" s="363">
        <v>0</v>
      </c>
      <c r="H88" s="363">
        <v>0</v>
      </c>
      <c r="I88" s="363">
        <v>0</v>
      </c>
      <c r="J88" s="363">
        <v>0</v>
      </c>
      <c r="K88" s="363">
        <v>0</v>
      </c>
      <c r="L88" s="398">
        <v>0</v>
      </c>
      <c r="M88" s="314">
        <f t="shared" si="80"/>
        <v>0</v>
      </c>
      <c r="N88" s="316">
        <f t="shared" si="81"/>
        <v>0</v>
      </c>
      <c r="O88" s="362">
        <v>0</v>
      </c>
      <c r="P88" s="363">
        <v>0</v>
      </c>
      <c r="Q88" s="363">
        <v>0</v>
      </c>
      <c r="R88" s="363">
        <v>0</v>
      </c>
      <c r="S88" s="363">
        <v>0</v>
      </c>
      <c r="T88" s="363">
        <v>0</v>
      </c>
      <c r="U88" s="363">
        <v>0</v>
      </c>
      <c r="V88" s="363">
        <v>0</v>
      </c>
      <c r="W88" s="363">
        <v>0</v>
      </c>
      <c r="X88" s="363">
        <v>0</v>
      </c>
      <c r="Y88" s="398">
        <v>0</v>
      </c>
      <c r="Z88" s="314">
        <f t="shared" si="82"/>
        <v>0</v>
      </c>
      <c r="AA88" s="316">
        <f t="shared" si="83"/>
        <v>0</v>
      </c>
      <c r="AB88" s="1054">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1055">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334">
        <f t="shared" si="84"/>
        <v>0</v>
      </c>
      <c r="AE88" s="1043">
        <f t="shared" si="85"/>
        <v>0</v>
      </c>
      <c r="AF88" s="1043">
        <f t="shared" si="86"/>
        <v>0</v>
      </c>
      <c r="AG88" s="1043">
        <f t="shared" si="87"/>
        <v>0</v>
      </c>
      <c r="AH88" s="1280">
        <f t="shared" si="88"/>
        <v>0</v>
      </c>
      <c r="AI88" s="1043">
        <f t="shared" si="89"/>
        <v>0</v>
      </c>
      <c r="AJ88" s="1277"/>
      <c r="AK88" s="1277"/>
      <c r="AL88" s="1277"/>
      <c r="AM88" s="1279"/>
      <c r="AN88" s="1277"/>
      <c r="AO88" s="1277"/>
      <c r="AP88" s="1277"/>
      <c r="AQ88" s="1277"/>
      <c r="AR88" s="1277"/>
      <c r="AS88" s="1277"/>
    </row>
    <row r="89" spans="1:45" ht="13.5" thickBot="1" x14ac:dyDescent="0.25">
      <c r="A89" s="346">
        <v>2020</v>
      </c>
      <c r="B89" s="364">
        <v>0</v>
      </c>
      <c r="C89" s="365">
        <v>0</v>
      </c>
      <c r="D89" s="365">
        <v>0</v>
      </c>
      <c r="E89" s="365">
        <v>0</v>
      </c>
      <c r="F89" s="365">
        <v>0</v>
      </c>
      <c r="G89" s="365">
        <v>0</v>
      </c>
      <c r="H89" s="365">
        <v>0</v>
      </c>
      <c r="I89" s="365">
        <v>0</v>
      </c>
      <c r="J89" s="365">
        <v>0</v>
      </c>
      <c r="K89" s="365">
        <v>0</v>
      </c>
      <c r="L89" s="399">
        <v>0</v>
      </c>
      <c r="M89" s="328">
        <f t="shared" si="80"/>
        <v>0</v>
      </c>
      <c r="N89" s="330">
        <f t="shared" si="81"/>
        <v>0</v>
      </c>
      <c r="O89" s="364">
        <v>0</v>
      </c>
      <c r="P89" s="365">
        <v>0</v>
      </c>
      <c r="Q89" s="365">
        <v>0</v>
      </c>
      <c r="R89" s="365">
        <v>0</v>
      </c>
      <c r="S89" s="365">
        <v>0</v>
      </c>
      <c r="T89" s="365">
        <v>0</v>
      </c>
      <c r="U89" s="365">
        <v>0</v>
      </c>
      <c r="V89" s="365">
        <v>0</v>
      </c>
      <c r="W89" s="365">
        <v>0</v>
      </c>
      <c r="X89" s="365">
        <v>0</v>
      </c>
      <c r="Y89" s="399">
        <v>0</v>
      </c>
      <c r="Z89" s="328">
        <f t="shared" si="82"/>
        <v>0</v>
      </c>
      <c r="AA89" s="330">
        <f t="shared" si="83"/>
        <v>0</v>
      </c>
      <c r="AB89" s="1054">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1055">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334">
        <f t="shared" si="84"/>
        <v>0</v>
      </c>
      <c r="AE89" s="1043">
        <f t="shared" si="85"/>
        <v>0</v>
      </c>
      <c r="AF89" s="1043">
        <f t="shared" si="86"/>
        <v>0</v>
      </c>
      <c r="AG89" s="1043">
        <f t="shared" si="87"/>
        <v>0</v>
      </c>
      <c r="AH89" s="1280">
        <f t="shared" si="88"/>
        <v>0</v>
      </c>
      <c r="AI89" s="1043">
        <f t="shared" si="89"/>
        <v>0</v>
      </c>
      <c r="AJ89" s="1277"/>
      <c r="AK89" s="1277"/>
      <c r="AL89" s="1277"/>
      <c r="AM89" s="1279"/>
      <c r="AN89" s="1277"/>
      <c r="AO89" s="1277"/>
      <c r="AP89" s="1277"/>
      <c r="AQ89" s="1277"/>
      <c r="AR89" s="1277"/>
      <c r="AS89" s="1277"/>
    </row>
    <row r="90" spans="1:45" x14ac:dyDescent="0.2">
      <c r="A90" s="347">
        <v>2021</v>
      </c>
      <c r="B90" s="360">
        <v>1.2169932922821489E-2</v>
      </c>
      <c r="C90" s="361">
        <v>1.2169932922821489E-2</v>
      </c>
      <c r="D90" s="361">
        <v>1.5292852074017585E-2</v>
      </c>
      <c r="E90" s="361">
        <v>2.4360415250416066E-2</v>
      </c>
      <c r="F90" s="361">
        <v>2.7824919630403771E-2</v>
      </c>
      <c r="G90" s="361">
        <v>2.9731270777176334E-2</v>
      </c>
      <c r="H90" s="361">
        <v>3.1177535592976879E-2</v>
      </c>
      <c r="I90" s="361">
        <v>3.0111997203137855E-2</v>
      </c>
      <c r="J90" s="361">
        <v>2.8600113589431424E-2</v>
      </c>
      <c r="K90" s="361">
        <v>2.7101901348342158E-2</v>
      </c>
      <c r="L90" s="397">
        <v>2.5358973553493029E-2</v>
      </c>
      <c r="M90" s="300">
        <f t="shared" si="80"/>
        <v>6.6057914915041149E-3</v>
      </c>
      <c r="N90" s="302">
        <f t="shared" si="81"/>
        <v>6.5063417965185912E-3</v>
      </c>
      <c r="O90" s="360">
        <v>1.2169932922821489E-2</v>
      </c>
      <c r="P90" s="361">
        <v>1.2169932922821489E-2</v>
      </c>
      <c r="Q90" s="361">
        <v>1.7866906010967503E-2</v>
      </c>
      <c r="R90" s="361">
        <v>2.4360415250416066E-2</v>
      </c>
      <c r="S90" s="361">
        <v>2.8827960462638785E-2</v>
      </c>
      <c r="T90" s="361">
        <v>3.0519952122814425E-2</v>
      </c>
      <c r="U90" s="361">
        <v>3.1177535592976879E-2</v>
      </c>
      <c r="V90" s="361">
        <v>2.9479416896501347E-2</v>
      </c>
      <c r="W90" s="361">
        <v>2.8031172580520045E-2</v>
      </c>
      <c r="X90" s="361">
        <v>2.7101901348342158E-2</v>
      </c>
      <c r="Y90" s="397">
        <v>2.5744170891842361E-2</v>
      </c>
      <c r="Z90" s="300">
        <f t="shared" si="82"/>
        <v>2.2459092739292644E-2</v>
      </c>
      <c r="AA90" s="302">
        <f t="shared" si="83"/>
        <v>2.1560870397409036E-2</v>
      </c>
      <c r="AB90" s="1054">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1055">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334">
        <f t="shared" si="84"/>
        <v>0</v>
      </c>
      <c r="AE90" s="1043">
        <f t="shared" si="85"/>
        <v>6.6057914915041149E-3</v>
      </c>
      <c r="AF90" s="1043">
        <f t="shared" si="86"/>
        <v>2.2459092739292644E-2</v>
      </c>
      <c r="AG90" s="1043">
        <f t="shared" si="87"/>
        <v>2.9064884230796759E-2</v>
      </c>
      <c r="AH90" s="1280">
        <f t="shared" si="88"/>
        <v>0.22727740592562579</v>
      </c>
      <c r="AI90" s="1043">
        <f t="shared" si="89"/>
        <v>0.77272259407437416</v>
      </c>
      <c r="AJ90" s="1277"/>
      <c r="AK90" s="1277"/>
      <c r="AL90" s="1277"/>
      <c r="AM90" s="1279"/>
      <c r="AN90" s="1277"/>
      <c r="AO90" s="1277"/>
      <c r="AP90" s="1277"/>
      <c r="AQ90" s="1277"/>
      <c r="AR90" s="1277"/>
      <c r="AS90" s="1277"/>
    </row>
    <row r="91" spans="1:45" x14ac:dyDescent="0.2">
      <c r="A91" s="348">
        <v>2022</v>
      </c>
      <c r="B91" s="362">
        <v>3.2416100335883678E-2</v>
      </c>
      <c r="C91" s="363">
        <v>3.2416100335883678E-2</v>
      </c>
      <c r="D91" s="363">
        <v>3.4208244260284397E-2</v>
      </c>
      <c r="E91" s="363">
        <v>6.0747680484536597E-2</v>
      </c>
      <c r="F91" s="363">
        <v>6.6587331509684863E-2</v>
      </c>
      <c r="G91" s="363">
        <v>6.7865052781578811E-2</v>
      </c>
      <c r="H91" s="363">
        <v>6.558911218404738E-2</v>
      </c>
      <c r="I91" s="363">
        <v>6.4673911655693361E-2</v>
      </c>
      <c r="J91" s="363">
        <v>6.3424604186338537E-2</v>
      </c>
      <c r="K91" s="363">
        <v>6.1768193224038502E-2</v>
      </c>
      <c r="L91" s="398">
        <v>6.0722336111417884E-2</v>
      </c>
      <c r="M91" s="314">
        <f t="shared" si="80"/>
        <v>1.4756504007619478E-2</v>
      </c>
      <c r="N91" s="316">
        <f t="shared" si="81"/>
        <v>1.4716730386577531E-2</v>
      </c>
      <c r="O91" s="362">
        <v>3.2416100335883678E-2</v>
      </c>
      <c r="P91" s="363">
        <v>3.2416100335883678E-2</v>
      </c>
      <c r="Q91" s="363">
        <v>4.0571655976554828E-2</v>
      </c>
      <c r="R91" s="363">
        <v>6.0747680484536597E-2</v>
      </c>
      <c r="S91" s="363">
        <v>6.7747671366065937E-2</v>
      </c>
      <c r="T91" s="363">
        <v>6.5072199823773005E-2</v>
      </c>
      <c r="U91" s="363">
        <v>6.5839797088520335E-2</v>
      </c>
      <c r="V91" s="363">
        <v>6.3629813440600855E-2</v>
      </c>
      <c r="W91" s="363">
        <v>6.2549647345042411E-2</v>
      </c>
      <c r="X91" s="363">
        <v>6.2068509617995302E-2</v>
      </c>
      <c r="Y91" s="398">
        <v>6.0752071826996143E-2</v>
      </c>
      <c r="Z91" s="314">
        <f t="shared" si="82"/>
        <v>4.92591251200893E-2</v>
      </c>
      <c r="AA91" s="316">
        <f t="shared" si="83"/>
        <v>4.7650573760686453E-2</v>
      </c>
      <c r="AB91" s="1054">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1055">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334">
        <f t="shared" si="84"/>
        <v>0</v>
      </c>
      <c r="AE91" s="1043">
        <f>SUMPRODUCT($B$74:$L$74,B91:L91)</f>
        <v>1.4756504007619478E-2</v>
      </c>
      <c r="AF91" s="1043">
        <f>SUMPRODUCT($O$74:$Y$74,O91:Y91)</f>
        <v>4.92591251200893E-2</v>
      </c>
      <c r="AG91" s="1043">
        <f>SUM(AE91:AF91)</f>
        <v>6.4015629127708779E-2</v>
      </c>
      <c r="AH91" s="1280">
        <f t="shared" si="88"/>
        <v>0.23051408239979657</v>
      </c>
      <c r="AI91" s="1043">
        <f t="shared" si="89"/>
        <v>0.76948591760020346</v>
      </c>
      <c r="AJ91" s="1277"/>
      <c r="AK91" s="1279"/>
      <c r="AL91" s="1279"/>
      <c r="AM91" s="1279"/>
      <c r="AN91" s="1277"/>
      <c r="AO91" s="1279"/>
      <c r="AP91" s="1277"/>
      <c r="AQ91" s="1277"/>
      <c r="AR91" s="1277"/>
      <c r="AS91" s="1277"/>
    </row>
    <row r="92" spans="1:45" x14ac:dyDescent="0.2">
      <c r="A92" s="348">
        <v>2023</v>
      </c>
      <c r="B92" s="362">
        <v>7.8913793191493012E-2</v>
      </c>
      <c r="C92" s="363">
        <v>7.8913793191493012E-2</v>
      </c>
      <c r="D92" s="363">
        <v>7.8911091769312228E-2</v>
      </c>
      <c r="E92" s="363">
        <v>0.12555262260931938</v>
      </c>
      <c r="F92" s="363">
        <v>0.13396779346350954</v>
      </c>
      <c r="G92" s="363">
        <v>0.13388220393240724</v>
      </c>
      <c r="H92" s="363">
        <v>0.13767051699109861</v>
      </c>
      <c r="I92" s="363">
        <v>0.13660897394608817</v>
      </c>
      <c r="J92" s="363">
        <v>0.13488936055742098</v>
      </c>
      <c r="K92" s="363">
        <v>0.13344548254652136</v>
      </c>
      <c r="L92" s="398">
        <v>0.12477117239448053</v>
      </c>
      <c r="M92" s="314">
        <f t="shared" si="80"/>
        <v>3.0582375168643754E-2</v>
      </c>
      <c r="N92" s="316">
        <f t="shared" si="81"/>
        <v>3.0573083954918992E-2</v>
      </c>
      <c r="O92" s="362">
        <v>7.8913793191493012E-2</v>
      </c>
      <c r="P92" s="363">
        <v>7.8913793191493012E-2</v>
      </c>
      <c r="Q92" s="363">
        <v>9.9543660856868763E-2</v>
      </c>
      <c r="R92" s="363">
        <v>0.12967667366920407</v>
      </c>
      <c r="S92" s="363">
        <v>0.13677481184670762</v>
      </c>
      <c r="T92" s="363">
        <v>0.13602284391640984</v>
      </c>
      <c r="U92" s="363">
        <v>0.13553152585118752</v>
      </c>
      <c r="V92" s="363">
        <v>0.13719711695148951</v>
      </c>
      <c r="W92" s="363">
        <v>0.13615004381492724</v>
      </c>
      <c r="X92" s="363">
        <v>0.13263723900247898</v>
      </c>
      <c r="Y92" s="398">
        <v>0.12567752625652548</v>
      </c>
      <c r="Z92" s="314">
        <f t="shared" si="82"/>
        <v>0.10301687265542642</v>
      </c>
      <c r="AA92" s="316">
        <f t="shared" si="83"/>
        <v>0.10004827780775004</v>
      </c>
      <c r="AB92" s="1054">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1055">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334">
        <f t="shared" si="84"/>
        <v>0</v>
      </c>
      <c r="AE92" s="1043">
        <f t="shared" ref="AE92:AE119" si="90">SUMPRODUCT($B$74:$L$74,B92:L92)</f>
        <v>3.0582375168643754E-2</v>
      </c>
      <c r="AF92" s="1043">
        <f t="shared" ref="AF92:AF119" si="91">SUMPRODUCT($O$74:$Y$74,O92:Y92)</f>
        <v>0.10301687265542642</v>
      </c>
      <c r="AG92" s="1043">
        <f t="shared" ref="AG92:AG119" si="92">SUM(AE92:AF92)</f>
        <v>0.13359924782407018</v>
      </c>
      <c r="AH92" s="1280">
        <f t="shared" si="88"/>
        <v>0.22891128256138144</v>
      </c>
      <c r="AI92" s="1043">
        <f t="shared" si="89"/>
        <v>0.77108871743861851</v>
      </c>
      <c r="AJ92" s="1277"/>
      <c r="AK92" s="1279"/>
      <c r="AL92" s="1279"/>
      <c r="AM92" s="1279"/>
      <c r="AN92" s="1277"/>
      <c r="AO92" s="1279"/>
      <c r="AP92" s="1277"/>
      <c r="AQ92" s="1277"/>
      <c r="AR92" s="1277"/>
      <c r="AS92" s="1277"/>
    </row>
    <row r="93" spans="1:45" x14ac:dyDescent="0.2">
      <c r="A93" s="348">
        <v>2024</v>
      </c>
      <c r="B93" s="362">
        <v>0.1512539466586072</v>
      </c>
      <c r="C93" s="363">
        <v>0.1512539466586072</v>
      </c>
      <c r="D93" s="363">
        <v>0.14796483046219139</v>
      </c>
      <c r="E93" s="363">
        <v>0.20286900768384869</v>
      </c>
      <c r="F93" s="363">
        <v>0.22743277058314793</v>
      </c>
      <c r="G93" s="363">
        <v>0.23964457109951906</v>
      </c>
      <c r="H93" s="363">
        <v>0.23865229454884396</v>
      </c>
      <c r="I93" s="363">
        <v>0.23946992638908784</v>
      </c>
      <c r="J93" s="363">
        <v>0.23412109630167394</v>
      </c>
      <c r="K93" s="363">
        <v>0.22631853410231664</v>
      </c>
      <c r="L93" s="398">
        <v>0.20699068613125635</v>
      </c>
      <c r="M93" s="314">
        <f t="shared" si="80"/>
        <v>5.2753995756631138E-2</v>
      </c>
      <c r="N93" s="316">
        <f t="shared" si="81"/>
        <v>5.2818816224577646E-2</v>
      </c>
      <c r="O93" s="362">
        <v>0.1512539466586072</v>
      </c>
      <c r="P93" s="363">
        <v>0.1512539466586072</v>
      </c>
      <c r="Q93" s="363">
        <v>0.1701447637245867</v>
      </c>
      <c r="R93" s="363">
        <v>0.210834371728296</v>
      </c>
      <c r="S93" s="363">
        <v>0.23364122327406039</v>
      </c>
      <c r="T93" s="363">
        <v>0.24740383868755644</v>
      </c>
      <c r="U93" s="363">
        <v>0.24444593913674711</v>
      </c>
      <c r="V93" s="363">
        <v>0.2373160319057607</v>
      </c>
      <c r="W93" s="363">
        <v>0.23080792641355091</v>
      </c>
      <c r="X93" s="363">
        <v>0.22206599904524718</v>
      </c>
      <c r="Y93" s="398">
        <v>0.20948133339306449</v>
      </c>
      <c r="Z93" s="314">
        <f t="shared" si="82"/>
        <v>0.18132570764759123</v>
      </c>
      <c r="AA93" s="316">
        <f t="shared" si="83"/>
        <v>0.17639083151901611</v>
      </c>
      <c r="AB93" s="1054">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1055">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334">
        <f t="shared" si="84"/>
        <v>0</v>
      </c>
      <c r="AE93" s="1043">
        <f t="shared" si="90"/>
        <v>5.2753995756631138E-2</v>
      </c>
      <c r="AF93" s="1043">
        <f t="shared" si="91"/>
        <v>0.18132570764759123</v>
      </c>
      <c r="AG93" s="1043">
        <f t="shared" si="92"/>
        <v>0.23407970340422238</v>
      </c>
      <c r="AH93" s="1280">
        <f t="shared" si="88"/>
        <v>0.22536766319091103</v>
      </c>
      <c r="AI93" s="1043">
        <f t="shared" si="89"/>
        <v>0.77463233680908894</v>
      </c>
      <c r="AJ93" s="1277"/>
      <c r="AK93" s="1279"/>
      <c r="AL93" s="1279"/>
      <c r="AM93" s="1279"/>
      <c r="AN93" s="1277"/>
      <c r="AO93" s="1279"/>
      <c r="AP93" s="1277"/>
      <c r="AQ93" s="1277"/>
      <c r="AR93" s="1277"/>
      <c r="AS93" s="1277"/>
    </row>
    <row r="94" spans="1:45" ht="13.5" thickBot="1" x14ac:dyDescent="0.25">
      <c r="A94" s="346">
        <v>2025</v>
      </c>
      <c r="B94" s="364">
        <v>0.17619044818902879</v>
      </c>
      <c r="C94" s="365">
        <v>0.17619044818902879</v>
      </c>
      <c r="D94" s="365">
        <v>0.17837778093651308</v>
      </c>
      <c r="E94" s="365">
        <v>0.28170004074918864</v>
      </c>
      <c r="F94" s="365">
        <v>0.31808262697106671</v>
      </c>
      <c r="G94" s="365">
        <v>0.32596801359217253</v>
      </c>
      <c r="H94" s="365">
        <v>0.33622138557018544</v>
      </c>
      <c r="I94" s="365">
        <v>0.33129720700395771</v>
      </c>
      <c r="J94" s="365">
        <v>0.31380037384028758</v>
      </c>
      <c r="K94" s="365">
        <v>0.30556656043179997</v>
      </c>
      <c r="L94" s="399">
        <v>0.28054011078893093</v>
      </c>
      <c r="M94" s="328">
        <f t="shared" si="80"/>
        <v>7.2997075746416826E-2</v>
      </c>
      <c r="N94" s="330">
        <f t="shared" si="81"/>
        <v>7.2692820873385425E-2</v>
      </c>
      <c r="O94" s="364">
        <v>0.17619044818902879</v>
      </c>
      <c r="P94" s="365">
        <v>0.17619044818902879</v>
      </c>
      <c r="Q94" s="365">
        <v>0.21468474630872364</v>
      </c>
      <c r="R94" s="365">
        <v>0.27475643823453255</v>
      </c>
      <c r="S94" s="365">
        <v>0.32686422673731358</v>
      </c>
      <c r="T94" s="365">
        <v>0.33506339594733781</v>
      </c>
      <c r="U94" s="365">
        <v>0.33634436115353744</v>
      </c>
      <c r="V94" s="365">
        <v>0.32274146903411066</v>
      </c>
      <c r="W94" s="365">
        <v>0.31034389047795952</v>
      </c>
      <c r="X94" s="365">
        <v>0.30191685066085727</v>
      </c>
      <c r="Y94" s="399">
        <v>0.28411710993019679</v>
      </c>
      <c r="Z94" s="328">
        <f t="shared" si="82"/>
        <v>0.24703374904827693</v>
      </c>
      <c r="AA94" s="330">
        <f t="shared" si="83"/>
        <v>0.23909666381988096</v>
      </c>
      <c r="AB94" s="1054">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1055">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334">
        <f t="shared" si="84"/>
        <v>0</v>
      </c>
      <c r="AE94" s="1043">
        <f t="shared" si="90"/>
        <v>7.2997075746416826E-2</v>
      </c>
      <c r="AF94" s="1043">
        <f t="shared" si="91"/>
        <v>0.24703374904827693</v>
      </c>
      <c r="AG94" s="1043">
        <f t="shared" si="92"/>
        <v>0.32003082479469375</v>
      </c>
      <c r="AH94" s="1280">
        <f t="shared" si="88"/>
        <v>0.22809388999714614</v>
      </c>
      <c r="AI94" s="1043">
        <f t="shared" si="89"/>
        <v>0.77190611000285392</v>
      </c>
      <c r="AJ94" s="1277"/>
      <c r="AK94" s="1279"/>
      <c r="AL94" s="1279"/>
      <c r="AM94" s="1279"/>
      <c r="AN94" s="1277"/>
      <c r="AO94" s="1279"/>
      <c r="AP94" s="1277"/>
      <c r="AQ94" s="1277"/>
      <c r="AR94" s="1277"/>
      <c r="AS94" s="1277"/>
    </row>
    <row r="95" spans="1:45" x14ac:dyDescent="0.2">
      <c r="A95" s="347">
        <v>2026</v>
      </c>
      <c r="B95" s="360">
        <v>0.212261523242674</v>
      </c>
      <c r="C95" s="361">
        <v>0.212261523242674</v>
      </c>
      <c r="D95" s="361">
        <v>0.2506234185591088</v>
      </c>
      <c r="E95" s="361">
        <v>0.35821584266146167</v>
      </c>
      <c r="F95" s="361">
        <v>0.3815964479429752</v>
      </c>
      <c r="G95" s="361">
        <v>0.3980170123153281</v>
      </c>
      <c r="H95" s="361">
        <v>0.38601561068035917</v>
      </c>
      <c r="I95" s="361">
        <v>0.3737991341096058</v>
      </c>
      <c r="J95" s="361">
        <v>0.35473211933582444</v>
      </c>
      <c r="K95" s="361">
        <v>0.34037168449165117</v>
      </c>
      <c r="L95" s="397">
        <v>0.32134473307751832</v>
      </c>
      <c r="M95" s="300">
        <f t="shared" si="80"/>
        <v>8.5562588861884781E-2</v>
      </c>
      <c r="N95" s="302">
        <f t="shared" si="81"/>
        <v>8.621402908730591E-2</v>
      </c>
      <c r="O95" s="360">
        <v>0.212261523242674</v>
      </c>
      <c r="P95" s="361">
        <v>0.21225789760787109</v>
      </c>
      <c r="Q95" s="361">
        <v>0.27223612007847325</v>
      </c>
      <c r="R95" s="361">
        <v>0.35779410638445053</v>
      </c>
      <c r="S95" s="361">
        <v>0.39538955369901257</v>
      </c>
      <c r="T95" s="361">
        <v>0.38779742598831585</v>
      </c>
      <c r="U95" s="361">
        <v>0.38459061684413831</v>
      </c>
      <c r="V95" s="361">
        <v>0.36519100727004855</v>
      </c>
      <c r="W95" s="361">
        <v>0.35473211933582444</v>
      </c>
      <c r="X95" s="361">
        <v>0.34217428635748748</v>
      </c>
      <c r="Y95" s="397">
        <v>0.32515816234227229</v>
      </c>
      <c r="Z95" s="300">
        <f t="shared" si="82"/>
        <v>0.28664847333603238</v>
      </c>
      <c r="AA95" s="302">
        <f t="shared" si="83"/>
        <v>0.2797649823700244</v>
      </c>
      <c r="AB95" s="1054">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1055">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334">
        <f t="shared" si="84"/>
        <v>0</v>
      </c>
      <c r="AE95" s="1043">
        <f t="shared" si="90"/>
        <v>8.5562588861884781E-2</v>
      </c>
      <c r="AF95" s="1043">
        <f t="shared" si="91"/>
        <v>0.28664847333603238</v>
      </c>
      <c r="AG95" s="1043">
        <f t="shared" si="92"/>
        <v>0.37221106219791716</v>
      </c>
      <c r="AH95" s="1280">
        <f t="shared" si="88"/>
        <v>0.22987653391233243</v>
      </c>
      <c r="AI95" s="1043">
        <f t="shared" si="89"/>
        <v>0.77012346608766757</v>
      </c>
      <c r="AJ95" s="1277"/>
      <c r="AK95" s="1279"/>
      <c r="AL95" s="1279"/>
      <c r="AM95" s="1279"/>
      <c r="AN95" s="1277"/>
      <c r="AO95" s="1279"/>
      <c r="AP95" s="1277"/>
      <c r="AQ95" s="1277"/>
      <c r="AR95" s="1277"/>
      <c r="AS95" s="1277"/>
    </row>
    <row r="96" spans="1:45" x14ac:dyDescent="0.2">
      <c r="A96" s="348">
        <v>2027</v>
      </c>
      <c r="B96" s="362">
        <v>0.19497937989917064</v>
      </c>
      <c r="C96" s="363">
        <v>0.19499583128413422</v>
      </c>
      <c r="D96" s="363">
        <v>0.31933001023755375</v>
      </c>
      <c r="E96" s="363">
        <v>0.38931960528061843</v>
      </c>
      <c r="F96" s="363">
        <v>0.42390905924328792</v>
      </c>
      <c r="G96" s="363">
        <v>0.40966992511845118</v>
      </c>
      <c r="H96" s="363">
        <v>0.39452584021669024</v>
      </c>
      <c r="I96" s="363">
        <v>0.37377539878417543</v>
      </c>
      <c r="J96" s="363">
        <v>0.36331770212127867</v>
      </c>
      <c r="K96" s="363">
        <v>0.35623079773438326</v>
      </c>
      <c r="L96" s="398">
        <v>0.33621603565922187</v>
      </c>
      <c r="M96" s="314">
        <f t="shared" si="80"/>
        <v>8.9283412361574499E-2</v>
      </c>
      <c r="N96" s="316">
        <f t="shared" si="81"/>
        <v>9.0569798845816618E-2</v>
      </c>
      <c r="O96" s="362">
        <v>0.19497937989917064</v>
      </c>
      <c r="P96" s="363">
        <v>0.18721887982484162</v>
      </c>
      <c r="Q96" s="363">
        <v>0.34212141688859743</v>
      </c>
      <c r="R96" s="363">
        <v>0.40815712564428175</v>
      </c>
      <c r="S96" s="363">
        <v>0.41267769398789761</v>
      </c>
      <c r="T96" s="363">
        <v>0.40132014028506441</v>
      </c>
      <c r="U96" s="363">
        <v>0.38254136715791354</v>
      </c>
      <c r="V96" s="363">
        <v>0.37387708709777639</v>
      </c>
      <c r="W96" s="363">
        <v>0.35876708922266864</v>
      </c>
      <c r="X96" s="363">
        <v>0.35150188543013811</v>
      </c>
      <c r="Y96" s="398">
        <v>0.33971142854344083</v>
      </c>
      <c r="Z96" s="314">
        <f t="shared" si="82"/>
        <v>0.29458321136738991</v>
      </c>
      <c r="AA96" s="316">
        <f t="shared" si="83"/>
        <v>0.28881126826640396</v>
      </c>
      <c r="AB96" s="1054">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1055">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334">
        <f t="shared" si="84"/>
        <v>0</v>
      </c>
      <c r="AE96" s="1043">
        <f t="shared" si="90"/>
        <v>8.9283412361574499E-2</v>
      </c>
      <c r="AF96" s="1043">
        <f t="shared" si="91"/>
        <v>0.29458321136738991</v>
      </c>
      <c r="AG96" s="1043">
        <f t="shared" si="92"/>
        <v>0.38386662372896441</v>
      </c>
      <c r="AH96" s="1280">
        <f t="shared" si="88"/>
        <v>0.23258967266874075</v>
      </c>
      <c r="AI96" s="1043">
        <f t="shared" si="89"/>
        <v>0.76741032733125925</v>
      </c>
      <c r="AJ96" s="1277"/>
      <c r="AK96" s="1279"/>
      <c r="AL96" s="1279"/>
      <c r="AM96" s="1279"/>
      <c r="AN96" s="1277"/>
      <c r="AO96" s="1279"/>
      <c r="AP96" s="1277"/>
      <c r="AQ96" s="1277"/>
      <c r="AR96" s="1277"/>
      <c r="AS96" s="1277"/>
    </row>
    <row r="97" spans="1:45" x14ac:dyDescent="0.2">
      <c r="A97" s="348">
        <v>2028</v>
      </c>
      <c r="B97" s="362">
        <v>0.16396378958013599</v>
      </c>
      <c r="C97" s="363">
        <v>0.15154985293728168</v>
      </c>
      <c r="D97" s="363">
        <v>0.32721169420036705</v>
      </c>
      <c r="E97" s="363">
        <v>0.42541435396921951</v>
      </c>
      <c r="F97" s="363">
        <v>0.42165500938392397</v>
      </c>
      <c r="G97" s="363">
        <v>0.40659788737104835</v>
      </c>
      <c r="H97" s="363">
        <v>0.3920436639155766</v>
      </c>
      <c r="I97" s="363">
        <v>0.37556524501189059</v>
      </c>
      <c r="J97" s="363">
        <v>0.36264955502710322</v>
      </c>
      <c r="K97" s="363">
        <v>0.3538946239425827</v>
      </c>
      <c r="L97" s="398">
        <v>0.34003703587777284</v>
      </c>
      <c r="M97" s="314">
        <f t="shared" si="80"/>
        <v>8.9688109955092507E-2</v>
      </c>
      <c r="N97" s="316">
        <f t="shared" si="81"/>
        <v>9.0998273253847614E-2</v>
      </c>
      <c r="O97" s="362">
        <v>0.16396378958013599</v>
      </c>
      <c r="P97" s="363">
        <v>0.13589910242283948</v>
      </c>
      <c r="Q97" s="363">
        <v>0.35833733346600766</v>
      </c>
      <c r="R97" s="363">
        <v>0.41448693569836847</v>
      </c>
      <c r="S97" s="363">
        <v>0.41371025753168805</v>
      </c>
      <c r="T97" s="363">
        <v>0.3968405057825044</v>
      </c>
      <c r="U97" s="363">
        <v>0.38211316363082082</v>
      </c>
      <c r="V97" s="363">
        <v>0.36970587900322344</v>
      </c>
      <c r="W97" s="363">
        <v>0.35838353172252208</v>
      </c>
      <c r="X97" s="363">
        <v>0.35005091561104024</v>
      </c>
      <c r="Y97" s="398">
        <v>0.3431010842279007</v>
      </c>
      <c r="Z97" s="314">
        <f t="shared" si="82"/>
        <v>0.29354904906260104</v>
      </c>
      <c r="AA97" s="316">
        <f t="shared" si="83"/>
        <v>0.28689811617410355</v>
      </c>
      <c r="AB97" s="1054">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1055">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334">
        <f t="shared" si="84"/>
        <v>0</v>
      </c>
      <c r="AE97" s="1043">
        <f t="shared" si="90"/>
        <v>8.9688109955092507E-2</v>
      </c>
      <c r="AF97" s="1043">
        <f t="shared" si="91"/>
        <v>0.29354904906260104</v>
      </c>
      <c r="AG97" s="1043">
        <f t="shared" si="92"/>
        <v>0.38323715901769356</v>
      </c>
      <c r="AH97" s="1280">
        <f t="shared" si="88"/>
        <v>0.23402769758804032</v>
      </c>
      <c r="AI97" s="1043">
        <f t="shared" si="89"/>
        <v>0.76597230241195968</v>
      </c>
      <c r="AJ97" s="1277"/>
      <c r="AK97" s="1279"/>
      <c r="AL97" s="1279"/>
      <c r="AM97" s="1279"/>
      <c r="AN97" s="1277"/>
      <c r="AO97" s="1279"/>
      <c r="AP97" s="1277"/>
      <c r="AQ97" s="1277"/>
      <c r="AR97" s="1277"/>
      <c r="AS97" s="1277"/>
    </row>
    <row r="98" spans="1:45" x14ac:dyDescent="0.2">
      <c r="A98" s="348">
        <v>2029</v>
      </c>
      <c r="B98" s="362">
        <v>0.12863892838469881</v>
      </c>
      <c r="C98" s="363">
        <v>0.12149062532022585</v>
      </c>
      <c r="D98" s="363">
        <v>0.3608961388912364</v>
      </c>
      <c r="E98" s="363">
        <v>0.41563429899370452</v>
      </c>
      <c r="F98" s="363">
        <v>0.40898072551608328</v>
      </c>
      <c r="G98" s="363">
        <v>0.3837616684485945</v>
      </c>
      <c r="H98" s="363">
        <v>0.37477667795960973</v>
      </c>
      <c r="I98" s="363">
        <v>0.36041477455571541</v>
      </c>
      <c r="J98" s="363">
        <v>0.35392013367587449</v>
      </c>
      <c r="K98" s="363">
        <v>0.34688769667624059</v>
      </c>
      <c r="L98" s="398">
        <v>0.33852428399963319</v>
      </c>
      <c r="M98" s="314">
        <f t="shared" si="80"/>
        <v>8.6525440544379065E-2</v>
      </c>
      <c r="N98" s="316">
        <f t="shared" si="81"/>
        <v>8.7714008287811215E-2</v>
      </c>
      <c r="O98" s="362">
        <v>0.12863892838469881</v>
      </c>
      <c r="P98" s="363">
        <v>0.14402631363908461</v>
      </c>
      <c r="Q98" s="363">
        <v>0.3872716232989894</v>
      </c>
      <c r="R98" s="363">
        <v>0.40333413026609871</v>
      </c>
      <c r="S98" s="363">
        <v>0.39605113659518598</v>
      </c>
      <c r="T98" s="363">
        <v>0.38636846537806541</v>
      </c>
      <c r="U98" s="363">
        <v>0.37495991083754321</v>
      </c>
      <c r="V98" s="363">
        <v>0.36235160681731071</v>
      </c>
      <c r="W98" s="363">
        <v>0.35392013367587449</v>
      </c>
      <c r="X98" s="363">
        <v>0.34688769667624059</v>
      </c>
      <c r="Y98" s="398">
        <v>0.34099230139341191</v>
      </c>
      <c r="Z98" s="314">
        <f t="shared" si="82"/>
        <v>0.28736540100229707</v>
      </c>
      <c r="AA98" s="316">
        <f t="shared" si="83"/>
        <v>0.28069486802737875</v>
      </c>
      <c r="AB98" s="1054">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1055">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334">
        <f t="shared" si="84"/>
        <v>0</v>
      </c>
      <c r="AE98" s="1043">
        <f t="shared" si="90"/>
        <v>8.6525440544379065E-2</v>
      </c>
      <c r="AF98" s="1043">
        <f t="shared" si="91"/>
        <v>0.28736540100229707</v>
      </c>
      <c r="AG98" s="1043">
        <f t="shared" si="92"/>
        <v>0.37389084154667612</v>
      </c>
      <c r="AH98" s="1280">
        <f t="shared" si="88"/>
        <v>0.23141898899274677</v>
      </c>
      <c r="AI98" s="1043">
        <f t="shared" si="89"/>
        <v>0.76858101100725329</v>
      </c>
      <c r="AJ98" s="1277"/>
      <c r="AK98" s="1279"/>
      <c r="AL98" s="1279"/>
      <c r="AM98" s="1279"/>
      <c r="AN98" s="1277"/>
      <c r="AO98" s="1279"/>
      <c r="AP98" s="1277"/>
      <c r="AQ98" s="1277"/>
      <c r="AR98" s="1277"/>
      <c r="AS98" s="1277"/>
    </row>
    <row r="99" spans="1:45" ht="13.5" thickBot="1" x14ac:dyDescent="0.25">
      <c r="A99" s="346">
        <v>2030</v>
      </c>
      <c r="B99" s="364">
        <v>9.4045416625330294E-2</v>
      </c>
      <c r="C99" s="365">
        <v>0.13876542382670135</v>
      </c>
      <c r="D99" s="365">
        <v>0.36412103111355343</v>
      </c>
      <c r="E99" s="365">
        <v>0.40995605067408075</v>
      </c>
      <c r="F99" s="365">
        <v>0.38776952101877588</v>
      </c>
      <c r="G99" s="365">
        <v>0.37622948007275203</v>
      </c>
      <c r="H99" s="365">
        <v>0.36611683753937518</v>
      </c>
      <c r="I99" s="365">
        <v>0.35527194174678978</v>
      </c>
      <c r="J99" s="365">
        <v>0.34820712560961198</v>
      </c>
      <c r="K99" s="365">
        <v>0.34509252866394435</v>
      </c>
      <c r="L99" s="399">
        <v>0.33767763502179743</v>
      </c>
      <c r="M99" s="328">
        <f t="shared" si="80"/>
        <v>8.4558488345217453E-2</v>
      </c>
      <c r="N99" s="330">
        <f t="shared" si="81"/>
        <v>8.5466359029426245E-2</v>
      </c>
      <c r="O99" s="364">
        <v>9.4045416625330294E-2</v>
      </c>
      <c r="P99" s="365">
        <v>0.18327418231844717</v>
      </c>
      <c r="Q99" s="365">
        <v>0.39292869970720468</v>
      </c>
      <c r="R99" s="365">
        <v>0.39671660161296873</v>
      </c>
      <c r="S99" s="365">
        <v>0.38770872321986355</v>
      </c>
      <c r="T99" s="365">
        <v>0.37147544402947341</v>
      </c>
      <c r="U99" s="365">
        <v>0.36179764942779086</v>
      </c>
      <c r="V99" s="365">
        <v>0.35160733426793406</v>
      </c>
      <c r="W99" s="365">
        <v>0.34820712560961198</v>
      </c>
      <c r="X99" s="365">
        <v>0.34228475896477922</v>
      </c>
      <c r="Y99" s="399">
        <v>0.33767763502179743</v>
      </c>
      <c r="Z99" s="328">
        <f t="shared" si="82"/>
        <v>0.27931712081952126</v>
      </c>
      <c r="AA99" s="330">
        <f t="shared" si="83"/>
        <v>0.27343077045316061</v>
      </c>
      <c r="AB99" s="1054">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1055">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334">
        <f t="shared" si="84"/>
        <v>0</v>
      </c>
      <c r="AE99" s="1043">
        <f t="shared" si="90"/>
        <v>8.4558488345217453E-2</v>
      </c>
      <c r="AF99" s="1043">
        <f t="shared" si="91"/>
        <v>0.27931712081952126</v>
      </c>
      <c r="AG99" s="1043">
        <f t="shared" si="92"/>
        <v>0.36387560916473871</v>
      </c>
      <c r="AH99" s="1280">
        <f t="shared" si="88"/>
        <v>0.23238295234824322</v>
      </c>
      <c r="AI99" s="1043">
        <f t="shared" si="89"/>
        <v>0.76761704765175676</v>
      </c>
      <c r="AJ99" s="1277"/>
      <c r="AK99" s="1279"/>
      <c r="AL99" s="1279"/>
      <c r="AM99" s="1279"/>
      <c r="AN99" s="1277"/>
      <c r="AO99" s="1279"/>
      <c r="AP99" s="1277"/>
      <c r="AQ99" s="1277"/>
      <c r="AR99" s="1277"/>
      <c r="AS99" s="1277"/>
    </row>
    <row r="100" spans="1:45" x14ac:dyDescent="0.2">
      <c r="A100" s="347">
        <v>2031</v>
      </c>
      <c r="B100" s="360">
        <v>9.419263933739605E-2</v>
      </c>
      <c r="C100" s="361">
        <v>0.1571367367978774</v>
      </c>
      <c r="D100" s="361">
        <v>0.3840637947332336</v>
      </c>
      <c r="E100" s="361">
        <v>0.40197066086873712</v>
      </c>
      <c r="F100" s="361">
        <v>0.38355854529730926</v>
      </c>
      <c r="G100" s="361">
        <v>0.37223838515609098</v>
      </c>
      <c r="H100" s="361">
        <v>0.36255916618590073</v>
      </c>
      <c r="I100" s="361">
        <v>0.35603068210117361</v>
      </c>
      <c r="J100" s="361">
        <v>0.34896061607072271</v>
      </c>
      <c r="K100" s="361">
        <v>0.34303354131219516</v>
      </c>
      <c r="L100" s="397">
        <v>0.33842256108279273</v>
      </c>
      <c r="M100" s="300">
        <f t="shared" si="80"/>
        <v>8.4013694981886058E-2</v>
      </c>
      <c r="N100" s="302">
        <f t="shared" si="81"/>
        <v>8.4980615624327002E-2</v>
      </c>
      <c r="O100" s="360">
        <v>9.419263933739605E-2</v>
      </c>
      <c r="P100" s="361">
        <v>0.18356108755147998</v>
      </c>
      <c r="Q100" s="361">
        <v>0.38896873249799535</v>
      </c>
      <c r="R100" s="361">
        <v>0.39297187413322043</v>
      </c>
      <c r="S100" s="361">
        <v>0.38345094792071793</v>
      </c>
      <c r="T100" s="361">
        <v>0.36760895367655322</v>
      </c>
      <c r="U100" s="361">
        <v>0.35843543323181459</v>
      </c>
      <c r="V100" s="361">
        <v>0.35236340119984327</v>
      </c>
      <c r="W100" s="361">
        <v>0.34584357803582821</v>
      </c>
      <c r="X100" s="361">
        <v>0.34303354131219516</v>
      </c>
      <c r="Y100" s="397">
        <v>0.33842256108279273</v>
      </c>
      <c r="Z100" s="300">
        <f t="shared" si="82"/>
        <v>0.27734445040724065</v>
      </c>
      <c r="AA100" s="302">
        <f t="shared" si="83"/>
        <v>0.27129128363410682</v>
      </c>
      <c r="AB100" s="1054">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1055">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334">
        <f t="shared" si="84"/>
        <v>0</v>
      </c>
      <c r="AE100" s="1043">
        <f t="shared" si="90"/>
        <v>8.4013694981886058E-2</v>
      </c>
      <c r="AF100" s="1043">
        <f t="shared" si="91"/>
        <v>0.27734445040724065</v>
      </c>
      <c r="AG100" s="1043">
        <f t="shared" si="92"/>
        <v>0.36135814538912669</v>
      </c>
      <c r="AH100" s="1280">
        <f t="shared" si="88"/>
        <v>0.23249426103683463</v>
      </c>
      <c r="AI100" s="1043">
        <f t="shared" si="89"/>
        <v>0.76750573896316543</v>
      </c>
      <c r="AJ100" s="1277"/>
      <c r="AK100" s="1279"/>
      <c r="AL100" s="1279"/>
      <c r="AM100" s="1279"/>
      <c r="AN100" s="1277"/>
      <c r="AO100" s="1279"/>
      <c r="AP100" s="1277"/>
      <c r="AQ100" s="1277"/>
      <c r="AR100" s="1277"/>
      <c r="AS100" s="1277"/>
    </row>
    <row r="101" spans="1:45" x14ac:dyDescent="0.2">
      <c r="A101" s="348">
        <v>2032</v>
      </c>
      <c r="B101" s="362">
        <v>9.4246915588520774E-2</v>
      </c>
      <c r="C101" s="363">
        <v>0.1510171235250779</v>
      </c>
      <c r="D101" s="363">
        <v>0.38073215190943188</v>
      </c>
      <c r="E101" s="363">
        <v>0.39774836884901238</v>
      </c>
      <c r="F101" s="363">
        <v>0.3789860679822965</v>
      </c>
      <c r="G101" s="363">
        <v>0.36801878823677014</v>
      </c>
      <c r="H101" s="363">
        <v>0.36297581290349279</v>
      </c>
      <c r="I101" s="363">
        <v>0.35278537334639631</v>
      </c>
      <c r="J101" s="363">
        <v>0.34626732103910263</v>
      </c>
      <c r="K101" s="363">
        <v>0.34345793634282867</v>
      </c>
      <c r="L101" s="398">
        <v>0.33709561518076986</v>
      </c>
      <c r="M101" s="314">
        <f t="shared" si="80"/>
        <v>8.3512929007801245E-2</v>
      </c>
      <c r="N101" s="316">
        <f t="shared" si="81"/>
        <v>8.4391125166515452E-2</v>
      </c>
      <c r="O101" s="362">
        <v>9.4246915588520774E-2</v>
      </c>
      <c r="P101" s="363">
        <v>0.17678864639675904</v>
      </c>
      <c r="Q101" s="363">
        <v>0.37712343505973611</v>
      </c>
      <c r="R101" s="363">
        <v>0.38404566811938096</v>
      </c>
      <c r="S101" s="363">
        <v>0.37888140632628337</v>
      </c>
      <c r="T101" s="363">
        <v>0.36354266485444725</v>
      </c>
      <c r="U101" s="363">
        <v>0.358853639973848</v>
      </c>
      <c r="V101" s="363">
        <v>0.34938355744234084</v>
      </c>
      <c r="W101" s="363">
        <v>0.34626732103910263</v>
      </c>
      <c r="X101" s="363">
        <v>0.34097714044650834</v>
      </c>
      <c r="Y101" s="398">
        <v>0.33884788086569173</v>
      </c>
      <c r="Z101" s="314">
        <f t="shared" si="82"/>
        <v>0.27549345190599567</v>
      </c>
      <c r="AA101" s="316">
        <f t="shared" si="83"/>
        <v>0.26892854786154385</v>
      </c>
      <c r="AB101" s="1054">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1055">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334">
        <f t="shared" si="84"/>
        <v>0</v>
      </c>
      <c r="AE101" s="1043">
        <f t="shared" si="90"/>
        <v>8.3512929007801245E-2</v>
      </c>
      <c r="AF101" s="1043">
        <f t="shared" si="91"/>
        <v>0.27549345190599567</v>
      </c>
      <c r="AG101" s="1043">
        <f t="shared" si="92"/>
        <v>0.35900638091379689</v>
      </c>
      <c r="AH101" s="1280">
        <f t="shared" si="88"/>
        <v>0.23262240853555755</v>
      </c>
      <c r="AI101" s="1043">
        <f t="shared" si="89"/>
        <v>0.76737759146444251</v>
      </c>
      <c r="AJ101" s="1277"/>
      <c r="AK101" s="1279"/>
      <c r="AL101" s="1279"/>
      <c r="AM101" s="1279"/>
      <c r="AN101" s="1277"/>
      <c r="AO101" s="1279"/>
      <c r="AP101" s="1277"/>
      <c r="AQ101" s="1277"/>
      <c r="AR101" s="1277"/>
      <c r="AS101" s="1277"/>
    </row>
    <row r="102" spans="1:45" x14ac:dyDescent="0.2">
      <c r="A102" s="348">
        <v>2033</v>
      </c>
      <c r="B102" s="362">
        <v>9.4266898447026584E-2</v>
      </c>
      <c r="C102" s="363">
        <v>0.15104914318102641</v>
      </c>
      <c r="D102" s="363">
        <v>0.37881754893700059</v>
      </c>
      <c r="E102" s="363">
        <v>0.39327958413571074</v>
      </c>
      <c r="F102" s="363">
        <v>0.37432408229837894</v>
      </c>
      <c r="G102" s="363">
        <v>0.36830670990722347</v>
      </c>
      <c r="H102" s="363">
        <v>0.35915412022230608</v>
      </c>
      <c r="I102" s="363">
        <v>0.35309228270798831</v>
      </c>
      <c r="J102" s="363">
        <v>0.34657872244532761</v>
      </c>
      <c r="K102" s="363">
        <v>0.3412919068448847</v>
      </c>
      <c r="L102" s="398">
        <v>0.33741269048838479</v>
      </c>
      <c r="M102" s="314">
        <f t="shared" si="80"/>
        <v>8.2977821776006766E-2</v>
      </c>
      <c r="N102" s="316">
        <f t="shared" si="81"/>
        <v>8.3783288990616114E-2</v>
      </c>
      <c r="O102" s="362">
        <v>9.4266898447026584E-2</v>
      </c>
      <c r="P102" s="363">
        <v>0.19780990724210479</v>
      </c>
      <c r="Q102" s="363">
        <v>0.37441361974574588</v>
      </c>
      <c r="R102" s="363">
        <v>0.38426866176870716</v>
      </c>
      <c r="S102" s="363">
        <v>0.37682084176002167</v>
      </c>
      <c r="T102" s="363">
        <v>0.36383449439297932</v>
      </c>
      <c r="U102" s="363">
        <v>0.35525545600510411</v>
      </c>
      <c r="V102" s="363">
        <v>0.34969285888987822</v>
      </c>
      <c r="W102" s="363">
        <v>0.34377115608458514</v>
      </c>
      <c r="X102" s="363">
        <v>0.3412919068448847</v>
      </c>
      <c r="Y102" s="398">
        <v>0.33741269048838479</v>
      </c>
      <c r="Z102" s="314">
        <f t="shared" si="82"/>
        <v>0.27451124433338514</v>
      </c>
      <c r="AA102" s="316">
        <f t="shared" si="83"/>
        <v>0.26839050664300618</v>
      </c>
      <c r="AB102" s="1054">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1055">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334">
        <f>AB102*AH102+AC102*AI102</f>
        <v>0</v>
      </c>
      <c r="AE102" s="1043">
        <f t="shared" si="90"/>
        <v>8.2977821776006766E-2</v>
      </c>
      <c r="AF102" s="1043">
        <f t="shared" si="91"/>
        <v>0.27451124433338514</v>
      </c>
      <c r="AG102" s="1043">
        <f t="shared" si="92"/>
        <v>0.35748906610939191</v>
      </c>
      <c r="AH102" s="1280">
        <f t="shared" si="88"/>
        <v>0.23211289419021139</v>
      </c>
      <c r="AI102" s="1043">
        <f t="shared" si="89"/>
        <v>0.76788710580978858</v>
      </c>
      <c r="AJ102" s="1277"/>
      <c r="AK102" s="1279"/>
      <c r="AL102" s="1279"/>
      <c r="AM102" s="1279"/>
      <c r="AN102" s="1277"/>
      <c r="AO102" s="1279"/>
      <c r="AP102" s="1277"/>
      <c r="AQ102" s="1277"/>
      <c r="AR102" s="1277"/>
      <c r="AS102" s="1277"/>
    </row>
    <row r="103" spans="1:45" x14ac:dyDescent="0.2">
      <c r="A103" s="348">
        <v>2034</v>
      </c>
      <c r="B103" s="362">
        <v>9.4274251862082881E-2</v>
      </c>
      <c r="C103" s="363">
        <v>0.170194084324263</v>
      </c>
      <c r="D103" s="363">
        <v>0.37668978818680082</v>
      </c>
      <c r="E103" s="363">
        <v>0.38444811008240171</v>
      </c>
      <c r="F103" s="363">
        <v>0.37454839006190027</v>
      </c>
      <c r="G103" s="363">
        <v>0.36408972293612635</v>
      </c>
      <c r="H103" s="363">
        <v>0.35941918879112511</v>
      </c>
      <c r="I103" s="363">
        <v>0.34996865390345705</v>
      </c>
      <c r="J103" s="363">
        <v>0.34685719849303975</v>
      </c>
      <c r="K103" s="363">
        <v>0.34157472338352968</v>
      </c>
      <c r="L103" s="398">
        <v>0.3376985228999253</v>
      </c>
      <c r="M103" s="314">
        <f t="shared" si="80"/>
        <v>8.2640103118937977E-2</v>
      </c>
      <c r="N103" s="316">
        <f t="shared" si="81"/>
        <v>8.3423091602675845E-2</v>
      </c>
      <c r="O103" s="362">
        <v>9.4274251862082881E-2</v>
      </c>
      <c r="P103" s="363">
        <v>0.19782533766756857</v>
      </c>
      <c r="Q103" s="363">
        <v>0.39246701923226868</v>
      </c>
      <c r="R103" s="363">
        <v>0.37969440670450022</v>
      </c>
      <c r="S103" s="363">
        <v>0.37223490901293466</v>
      </c>
      <c r="T103" s="363">
        <v>0.35979629232771965</v>
      </c>
      <c r="U103" s="363">
        <v>0.35552426047316654</v>
      </c>
      <c r="V103" s="363">
        <v>0.34996865390345705</v>
      </c>
      <c r="W103" s="363">
        <v>0.34405197023002704</v>
      </c>
      <c r="X103" s="363">
        <v>0.34157472338352968</v>
      </c>
      <c r="Y103" s="398">
        <v>0.3376985228999253</v>
      </c>
      <c r="Z103" s="314">
        <f t="shared" si="82"/>
        <v>0.27357138148565452</v>
      </c>
      <c r="AA103" s="316">
        <f t="shared" si="83"/>
        <v>0.26746549409928261</v>
      </c>
      <c r="AB103" s="1054">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1055">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334">
        <f t="shared" ref="AD103:AD119" si="93">AB103*AH103+AC103*AI103</f>
        <v>0</v>
      </c>
      <c r="AE103" s="1043">
        <f t="shared" si="90"/>
        <v>8.2640103118937977E-2</v>
      </c>
      <c r="AF103" s="1043">
        <f t="shared" si="91"/>
        <v>0.27357138148565452</v>
      </c>
      <c r="AG103" s="1043">
        <f t="shared" si="92"/>
        <v>0.35621148460459251</v>
      </c>
      <c r="AH103" s="1280">
        <f t="shared" si="88"/>
        <v>0.23199730129608664</v>
      </c>
      <c r="AI103" s="1043">
        <f t="shared" si="89"/>
        <v>0.76800269870391336</v>
      </c>
      <c r="AJ103" s="1277"/>
      <c r="AK103" s="1279"/>
      <c r="AL103" s="1279"/>
      <c r="AM103" s="1279"/>
      <c r="AN103" s="1277"/>
      <c r="AO103" s="1279"/>
      <c r="AP103" s="1277"/>
      <c r="AQ103" s="1277"/>
      <c r="AR103" s="1277"/>
      <c r="AS103" s="1277"/>
    </row>
    <row r="104" spans="1:45" ht="13.5" thickBot="1" x14ac:dyDescent="0.25">
      <c r="A104" s="346">
        <v>2035</v>
      </c>
      <c r="B104" s="364">
        <v>9.4276957320963251E-2</v>
      </c>
      <c r="C104" s="365">
        <v>0.17019896851149047</v>
      </c>
      <c r="D104" s="365">
        <v>0.37437736805249811</v>
      </c>
      <c r="E104" s="365">
        <v>0.3846164815474169</v>
      </c>
      <c r="F104" s="365">
        <v>0.36991039343430054</v>
      </c>
      <c r="G104" s="365">
        <v>0.36433907097940749</v>
      </c>
      <c r="H104" s="365">
        <v>0.35967916883697493</v>
      </c>
      <c r="I104" s="365">
        <v>0.35024046443030576</v>
      </c>
      <c r="J104" s="365">
        <v>0.34432939973549503</v>
      </c>
      <c r="K104" s="365">
        <v>0.34185440133132</v>
      </c>
      <c r="L104" s="399">
        <v>0.33798159566450969</v>
      </c>
      <c r="M104" s="328">
        <f t="shared" si="80"/>
        <v>8.2485656609147626E-2</v>
      </c>
      <c r="N104" s="330">
        <f t="shared" si="81"/>
        <v>8.3221106081168089E-2</v>
      </c>
      <c r="O104" s="364">
        <v>9.4276957320963251E-2</v>
      </c>
      <c r="P104" s="365">
        <v>0.19777560531812086</v>
      </c>
      <c r="Q104" s="365">
        <v>0.38922886788374617</v>
      </c>
      <c r="R104" s="365">
        <v>0.38907175366225116</v>
      </c>
      <c r="S104" s="365">
        <v>0.37246577356040494</v>
      </c>
      <c r="T104" s="365">
        <v>0.36487022222055271</v>
      </c>
      <c r="U104" s="365">
        <v>0.35578839342551638</v>
      </c>
      <c r="V104" s="365">
        <v>0.34713200763885316</v>
      </c>
      <c r="W104" s="365">
        <v>0.34432939973549503</v>
      </c>
      <c r="X104" s="365">
        <v>0.34185440133132</v>
      </c>
      <c r="Y104" s="399">
        <v>0.33798159566450969</v>
      </c>
      <c r="Z104" s="328">
        <f t="shared" si="82"/>
        <v>0.27463894077521367</v>
      </c>
      <c r="AA104" s="330">
        <f t="shared" si="83"/>
        <v>0.26875647995960461</v>
      </c>
      <c r="AB104" s="1054">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1055">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334">
        <f t="shared" si="93"/>
        <v>0</v>
      </c>
      <c r="AE104" s="1043">
        <f t="shared" si="90"/>
        <v>8.2485656609147626E-2</v>
      </c>
      <c r="AF104" s="1043">
        <f t="shared" si="91"/>
        <v>0.27463894077521367</v>
      </c>
      <c r="AG104" s="1043">
        <f t="shared" si="92"/>
        <v>0.35712459738436131</v>
      </c>
      <c r="AH104" s="1280">
        <f t="shared" si="88"/>
        <v>0.23097164746781937</v>
      </c>
      <c r="AI104" s="1043">
        <f t="shared" si="89"/>
        <v>0.7690283525321806</v>
      </c>
      <c r="AJ104" s="1277"/>
      <c r="AK104" s="1279"/>
      <c r="AL104" s="1279"/>
      <c r="AM104" s="1279"/>
      <c r="AN104" s="1277"/>
      <c r="AO104" s="1279"/>
      <c r="AP104" s="1277"/>
      <c r="AQ104" s="1277"/>
      <c r="AR104" s="1277"/>
      <c r="AS104" s="1277"/>
    </row>
    <row r="105" spans="1:45" x14ac:dyDescent="0.2">
      <c r="A105" s="347">
        <v>2036</v>
      </c>
      <c r="B105" s="360">
        <v>9.4277952642734544E-2</v>
      </c>
      <c r="C105" s="361">
        <v>0.16365142626619081</v>
      </c>
      <c r="D105" s="361">
        <v>0.3647689466261434</v>
      </c>
      <c r="E105" s="361">
        <v>0.37994399603462287</v>
      </c>
      <c r="F105" s="361">
        <v>0.37971358119655063</v>
      </c>
      <c r="G105" s="361">
        <v>0.36444338443690455</v>
      </c>
      <c r="H105" s="361">
        <v>0.35589894644553838</v>
      </c>
      <c r="I105" s="361">
        <v>0.35035426020325999</v>
      </c>
      <c r="J105" s="361">
        <v>0.34444557257814096</v>
      </c>
      <c r="K105" s="361">
        <v>0.34197152567406836</v>
      </c>
      <c r="L105" s="397">
        <v>0.33806767808656563</v>
      </c>
      <c r="M105" s="300">
        <f t="shared" si="80"/>
        <v>8.2405756961875923E-2</v>
      </c>
      <c r="N105" s="302">
        <f t="shared" si="81"/>
        <v>8.3126513952593295E-2</v>
      </c>
      <c r="O105" s="360">
        <v>9.4277952642734544E-2</v>
      </c>
      <c r="P105" s="361">
        <v>0.1905685309214831</v>
      </c>
      <c r="Q105" s="361">
        <v>0.38927027380683571</v>
      </c>
      <c r="R105" s="361">
        <v>0.38915057902236033</v>
      </c>
      <c r="S105" s="361">
        <v>0.37256229295394061</v>
      </c>
      <c r="T105" s="361">
        <v>0.36497772033722237</v>
      </c>
      <c r="U105" s="361">
        <v>0.35225117155952929</v>
      </c>
      <c r="V105" s="361">
        <v>0.34724707182486875</v>
      </c>
      <c r="W105" s="361">
        <v>0.34444557257814096</v>
      </c>
      <c r="X105" s="361">
        <v>0.33984789852746528</v>
      </c>
      <c r="Y105" s="397">
        <v>0.33793670038371698</v>
      </c>
      <c r="Z105" s="300">
        <f t="shared" si="82"/>
        <v>0.27372597169965995</v>
      </c>
      <c r="AA105" s="302">
        <f t="shared" si="83"/>
        <v>0.26783334634208522</v>
      </c>
      <c r="AB105" s="1054">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1055">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334">
        <f t="shared" si="93"/>
        <v>0</v>
      </c>
      <c r="AE105" s="1043">
        <f t="shared" si="90"/>
        <v>8.2405756961875923E-2</v>
      </c>
      <c r="AF105" s="1043">
        <f t="shared" si="91"/>
        <v>0.27372597169965995</v>
      </c>
      <c r="AG105" s="1043">
        <f t="shared" si="92"/>
        <v>0.35613172866153586</v>
      </c>
      <c r="AH105" s="1280">
        <f t="shared" si="88"/>
        <v>0.23139122501548734</v>
      </c>
      <c r="AI105" s="1043">
        <f t="shared" si="89"/>
        <v>0.76860877498451274</v>
      </c>
      <c r="AJ105" s="1277"/>
      <c r="AK105" s="1279"/>
      <c r="AL105" s="1279"/>
      <c r="AM105" s="1279"/>
      <c r="AN105" s="1277"/>
      <c r="AO105" s="1279"/>
      <c r="AP105" s="1277"/>
      <c r="AQ105" s="1277"/>
      <c r="AR105" s="1277"/>
      <c r="AS105" s="1277"/>
    </row>
    <row r="106" spans="1:45" x14ac:dyDescent="0.2">
      <c r="A106" s="348">
        <v>2037</v>
      </c>
      <c r="B106" s="362">
        <v>9.4278318806439401E-2</v>
      </c>
      <c r="C106" s="363">
        <v>0.16365206186773779</v>
      </c>
      <c r="D106" s="363">
        <v>0.36479618451524282</v>
      </c>
      <c r="E106" s="363">
        <v>0.38001628594632741</v>
      </c>
      <c r="F106" s="363">
        <v>0.37980781684346521</v>
      </c>
      <c r="G106" s="363">
        <v>0.36454724383696441</v>
      </c>
      <c r="H106" s="363">
        <v>0.35600923242226939</v>
      </c>
      <c r="I106" s="363">
        <v>0.35046789431336056</v>
      </c>
      <c r="J106" s="363">
        <v>0.34456167430448559</v>
      </c>
      <c r="K106" s="363">
        <v>0.3420886159831823</v>
      </c>
      <c r="L106" s="398">
        <v>0.33808025504862255</v>
      </c>
      <c r="M106" s="314">
        <f t="shared" si="80"/>
        <v>8.242777557198698E-2</v>
      </c>
      <c r="N106" s="316">
        <f t="shared" si="81"/>
        <v>8.3147876062039897E-2</v>
      </c>
      <c r="O106" s="362">
        <v>9.4278318806439401E-2</v>
      </c>
      <c r="P106" s="363">
        <v>0.19056933806067647</v>
      </c>
      <c r="Q106" s="363">
        <v>0.38930980245645591</v>
      </c>
      <c r="R106" s="363">
        <v>0.38922826560650531</v>
      </c>
      <c r="S106" s="363">
        <v>0.37265814378774642</v>
      </c>
      <c r="T106" s="363">
        <v>0.36508482519458157</v>
      </c>
      <c r="U106" s="363">
        <v>0.35236310401536997</v>
      </c>
      <c r="V106" s="363">
        <v>0.34736202231166224</v>
      </c>
      <c r="W106" s="363">
        <v>0.34456167430448559</v>
      </c>
      <c r="X106" s="363">
        <v>0.33996578360797286</v>
      </c>
      <c r="Y106" s="398">
        <v>0.33770324535761287</v>
      </c>
      <c r="Z106" s="314">
        <f t="shared" si="82"/>
        <v>0.27379006971642778</v>
      </c>
      <c r="AA106" s="316">
        <f t="shared" si="83"/>
        <v>0.2678997024502372</v>
      </c>
      <c r="AB106" s="1054">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1055">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334">
        <f t="shared" si="93"/>
        <v>0</v>
      </c>
      <c r="AE106" s="1043">
        <f t="shared" si="90"/>
        <v>8.242777557198698E-2</v>
      </c>
      <c r="AF106" s="1043">
        <f t="shared" si="91"/>
        <v>0.27379006971642778</v>
      </c>
      <c r="AG106" s="1043">
        <f t="shared" si="92"/>
        <v>0.35621784528841477</v>
      </c>
      <c r="AH106" s="1280">
        <f t="shared" si="88"/>
        <v>0.23139709776540993</v>
      </c>
      <c r="AI106" s="1043">
        <f t="shared" si="89"/>
        <v>0.76860290223459005</v>
      </c>
      <c r="AJ106" s="1277"/>
      <c r="AK106" s="1279"/>
      <c r="AL106" s="1279"/>
      <c r="AM106" s="1279"/>
      <c r="AN106" s="1277"/>
      <c r="AO106" s="1279"/>
      <c r="AP106" s="1277"/>
      <c r="AQ106" s="1277"/>
      <c r="AR106" s="1277"/>
      <c r="AS106" s="1277"/>
    </row>
    <row r="107" spans="1:45" x14ac:dyDescent="0.2">
      <c r="A107" s="348">
        <v>2038</v>
      </c>
      <c r="B107" s="362">
        <v>9.4278453511254107E-2</v>
      </c>
      <c r="C107" s="363">
        <v>0.16365229569372189</v>
      </c>
      <c r="D107" s="363">
        <v>0.3648230131843278</v>
      </c>
      <c r="E107" s="363">
        <v>0.38008899361410431</v>
      </c>
      <c r="F107" s="363">
        <v>0.37990290042218744</v>
      </c>
      <c r="G107" s="363">
        <v>0.3646521822415898</v>
      </c>
      <c r="H107" s="363">
        <v>0.35612074841737229</v>
      </c>
      <c r="I107" s="363">
        <v>0.35058284048960991</v>
      </c>
      <c r="J107" s="363">
        <v>0.34467915379521441</v>
      </c>
      <c r="K107" s="363">
        <v>0.34220711073885274</v>
      </c>
      <c r="L107" s="398">
        <v>0.33730718840125967</v>
      </c>
      <c r="M107" s="314">
        <f t="shared" si="80"/>
        <v>8.2437487161265505E-2</v>
      </c>
      <c r="N107" s="316">
        <f t="shared" si="81"/>
        <v>8.3163538893282735E-2</v>
      </c>
      <c r="O107" s="362">
        <v>9.4278453511254107E-2</v>
      </c>
      <c r="P107" s="363">
        <v>0.19055654328778507</v>
      </c>
      <c r="Q107" s="363">
        <v>0.38934909352543218</v>
      </c>
      <c r="R107" s="363">
        <v>0.38930645105323758</v>
      </c>
      <c r="S107" s="363">
        <v>0.37275464903360545</v>
      </c>
      <c r="T107" s="363">
        <v>0.36519134443712786</v>
      </c>
      <c r="U107" s="363">
        <v>0.3543782797224963</v>
      </c>
      <c r="V107" s="363">
        <v>0.34746974373939787</v>
      </c>
      <c r="W107" s="363">
        <v>0.34466586454280385</v>
      </c>
      <c r="X107" s="363">
        <v>0.33996810602426042</v>
      </c>
      <c r="Y107" s="398">
        <v>0.33638337631832405</v>
      </c>
      <c r="Z107" s="314">
        <f t="shared" si="82"/>
        <v>0.27424744480900898</v>
      </c>
      <c r="AA107" s="316">
        <f t="shared" si="83"/>
        <v>0.26833996836284579</v>
      </c>
      <c r="AB107" s="1054">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1055">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334">
        <f t="shared" si="93"/>
        <v>0</v>
      </c>
      <c r="AE107" s="1043">
        <f t="shared" si="90"/>
        <v>8.2437487161265505E-2</v>
      </c>
      <c r="AF107" s="1043">
        <f t="shared" si="91"/>
        <v>0.27424744480900898</v>
      </c>
      <c r="AG107" s="1043">
        <f t="shared" si="92"/>
        <v>0.35668493197027451</v>
      </c>
      <c r="AH107" s="1280">
        <f t="shared" si="88"/>
        <v>0.23112130559004299</v>
      </c>
      <c r="AI107" s="1043">
        <f t="shared" si="89"/>
        <v>0.76887869440995693</v>
      </c>
      <c r="AJ107" s="1277"/>
      <c r="AK107" s="1279"/>
      <c r="AL107" s="1279"/>
      <c r="AM107" s="1279"/>
      <c r="AN107" s="1277"/>
      <c r="AO107" s="1279"/>
      <c r="AP107" s="1277"/>
      <c r="AQ107" s="1277"/>
      <c r="AR107" s="1277"/>
      <c r="AS107" s="1277"/>
    </row>
    <row r="108" spans="1:45" x14ac:dyDescent="0.2">
      <c r="A108" s="348">
        <v>2039</v>
      </c>
      <c r="B108" s="362">
        <v>9.427850306648293E-2</v>
      </c>
      <c r="C108" s="363">
        <v>0.18372841739384654</v>
      </c>
      <c r="D108" s="363">
        <v>0.36484999720811256</v>
      </c>
      <c r="E108" s="363">
        <v>0.3801627054817654</v>
      </c>
      <c r="F108" s="363">
        <v>0.37986952268103397</v>
      </c>
      <c r="G108" s="363">
        <v>0.36295754372500755</v>
      </c>
      <c r="H108" s="363">
        <v>0.35065879528066313</v>
      </c>
      <c r="I108" s="363">
        <v>0.33752101305687332</v>
      </c>
      <c r="J108" s="363">
        <v>0.32237328971994006</v>
      </c>
      <c r="K108" s="363">
        <v>0.30942561780529237</v>
      </c>
      <c r="L108" s="398">
        <v>0.28587634944672891</v>
      </c>
      <c r="M108" s="314">
        <f t="shared" si="80"/>
        <v>8.0292955124953283E-2</v>
      </c>
      <c r="N108" s="316">
        <f t="shared" si="81"/>
        <v>8.1833425132308485E-2</v>
      </c>
      <c r="O108" s="362">
        <v>9.427850306648293E-2</v>
      </c>
      <c r="P108" s="363">
        <v>0.21240527107786941</v>
      </c>
      <c r="Q108" s="363">
        <v>0.385881538137549</v>
      </c>
      <c r="R108" s="363">
        <v>0.38937946515792071</v>
      </c>
      <c r="S108" s="363">
        <v>0.36813120093137702</v>
      </c>
      <c r="T108" s="363">
        <v>0.36526391641905909</v>
      </c>
      <c r="U108" s="363">
        <v>0.35444517639760287</v>
      </c>
      <c r="V108" s="363">
        <v>0.3475312828810847</v>
      </c>
      <c r="W108" s="363">
        <v>0.34464121685690774</v>
      </c>
      <c r="X108" s="363">
        <v>0.33929446094987353</v>
      </c>
      <c r="Y108" s="398">
        <v>0.33300731427445129</v>
      </c>
      <c r="Z108" s="314">
        <f t="shared" si="82"/>
        <v>0.273791247832532</v>
      </c>
      <c r="AA108" s="316">
        <f t="shared" si="83"/>
        <v>0.26822891077778399</v>
      </c>
      <c r="AB108" s="1054">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1055">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334">
        <f t="shared" si="93"/>
        <v>0</v>
      </c>
      <c r="AE108" s="1043">
        <f t="shared" si="90"/>
        <v>8.0292955124953283E-2</v>
      </c>
      <c r="AF108" s="1043">
        <f t="shared" si="91"/>
        <v>0.273791247832532</v>
      </c>
      <c r="AG108" s="1043">
        <f t="shared" si="92"/>
        <v>0.35408420295748527</v>
      </c>
      <c r="AH108" s="1280">
        <f t="shared" si="88"/>
        <v>0.22676231939834385</v>
      </c>
      <c r="AI108" s="1043">
        <f t="shared" si="89"/>
        <v>0.77323768060165621</v>
      </c>
      <c r="AJ108" s="1277"/>
      <c r="AK108" s="1279"/>
      <c r="AL108" s="1279"/>
      <c r="AM108" s="1279"/>
      <c r="AN108" s="1277"/>
      <c r="AO108" s="1279"/>
      <c r="AP108" s="1277"/>
      <c r="AQ108" s="1277"/>
      <c r="AR108" s="1277"/>
      <c r="AS108" s="1277"/>
    </row>
    <row r="109" spans="1:45" ht="13.5" thickBot="1" x14ac:dyDescent="0.25">
      <c r="A109" s="346">
        <v>2040</v>
      </c>
      <c r="B109" s="364">
        <v>9.4278521296845968E-2</v>
      </c>
      <c r="C109" s="365">
        <v>0.18372845292088213</v>
      </c>
      <c r="D109" s="365">
        <v>0.38437090594097134</v>
      </c>
      <c r="E109" s="365">
        <v>0.37724906827495125</v>
      </c>
      <c r="F109" s="365">
        <v>0.36550846158764344</v>
      </c>
      <c r="G109" s="365">
        <v>0.33106977063502724</v>
      </c>
      <c r="H109" s="365">
        <v>0.31801576837496881</v>
      </c>
      <c r="I109" s="365">
        <v>0.3002792049224004</v>
      </c>
      <c r="J109" s="365">
        <v>0.28500009154083938</v>
      </c>
      <c r="K109" s="365">
        <v>0.27760542931163013</v>
      </c>
      <c r="L109" s="399">
        <v>0.25964387819944645</v>
      </c>
      <c r="M109" s="328">
        <f t="shared" si="80"/>
        <v>7.4193630524063012E-2</v>
      </c>
      <c r="N109" s="330">
        <f t="shared" si="81"/>
        <v>7.6618844380909587E-2</v>
      </c>
      <c r="O109" s="364">
        <v>9.4278521296845968E-2</v>
      </c>
      <c r="P109" s="365">
        <v>0.21238858242114994</v>
      </c>
      <c r="Q109" s="365">
        <v>0.38590745028685652</v>
      </c>
      <c r="R109" s="365">
        <v>0.38940019017145056</v>
      </c>
      <c r="S109" s="365">
        <v>0.36814191049859113</v>
      </c>
      <c r="T109" s="365">
        <v>0.36114553815125205</v>
      </c>
      <c r="U109" s="365">
        <v>0.35445296894557698</v>
      </c>
      <c r="V109" s="365">
        <v>0.34738970635632205</v>
      </c>
      <c r="W109" s="365">
        <v>0.34357804467052522</v>
      </c>
      <c r="X109" s="365">
        <v>0.33634875590992802</v>
      </c>
      <c r="Y109" s="399">
        <v>0.32561636373901576</v>
      </c>
      <c r="Z109" s="328">
        <f t="shared" si="82"/>
        <v>0.27252419663645722</v>
      </c>
      <c r="AA109" s="330">
        <f t="shared" si="83"/>
        <v>0.2671837603484073</v>
      </c>
      <c r="AB109" s="1054">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1055">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334">
        <f t="shared" si="93"/>
        <v>0</v>
      </c>
      <c r="AE109" s="1043">
        <f t="shared" si="90"/>
        <v>7.4193630524063012E-2</v>
      </c>
      <c r="AF109" s="1043">
        <f t="shared" si="91"/>
        <v>0.27252419663645722</v>
      </c>
      <c r="AG109" s="1043">
        <f t="shared" si="92"/>
        <v>0.34671782716052024</v>
      </c>
      <c r="AH109" s="1280">
        <f t="shared" si="88"/>
        <v>0.21398850797975705</v>
      </c>
      <c r="AI109" s="1043">
        <f t="shared" si="89"/>
        <v>0.7860114920202429</v>
      </c>
      <c r="AJ109" s="1277"/>
      <c r="AK109" s="1279"/>
      <c r="AL109" s="1279"/>
      <c r="AM109" s="1279"/>
      <c r="AN109" s="1277"/>
      <c r="AO109" s="1279"/>
      <c r="AP109" s="1277"/>
      <c r="AQ109" s="1277"/>
      <c r="AR109" s="1277"/>
      <c r="AS109" s="1277"/>
    </row>
    <row r="110" spans="1:45" x14ac:dyDescent="0.2">
      <c r="A110" s="347">
        <v>2041</v>
      </c>
      <c r="B110" s="360">
        <v>9.427852800342347E-2</v>
      </c>
      <c r="C110" s="361">
        <v>0.18372846599055162</v>
      </c>
      <c r="D110" s="361">
        <v>0.38184121207337585</v>
      </c>
      <c r="E110" s="361">
        <v>0.35824261932181811</v>
      </c>
      <c r="F110" s="361">
        <v>0.3382596540345148</v>
      </c>
      <c r="G110" s="361">
        <v>0.30638781941197984</v>
      </c>
      <c r="H110" s="361">
        <v>0.29248937355030513</v>
      </c>
      <c r="I110" s="361">
        <v>0.28089671308011077</v>
      </c>
      <c r="J110" s="361">
        <v>0.26911654530667733</v>
      </c>
      <c r="K110" s="361">
        <v>0.26360489223093747</v>
      </c>
      <c r="L110" s="397">
        <v>0.24625833467828623</v>
      </c>
      <c r="M110" s="300">
        <f t="shared" si="80"/>
        <v>6.9129451181913854E-2</v>
      </c>
      <c r="N110" s="302">
        <f t="shared" si="81"/>
        <v>7.1615033461670655E-2</v>
      </c>
      <c r="O110" s="360">
        <v>9.427852800342347E-2</v>
      </c>
      <c r="P110" s="361">
        <v>0.21238871046453336</v>
      </c>
      <c r="Q110" s="361">
        <v>0.38585261266456933</v>
      </c>
      <c r="R110" s="361">
        <v>0.38930326280775029</v>
      </c>
      <c r="S110" s="361">
        <v>0.36804258392677064</v>
      </c>
      <c r="T110" s="361">
        <v>0.36102336049660616</v>
      </c>
      <c r="U110" s="361">
        <v>0.35400704302658914</v>
      </c>
      <c r="V110" s="361">
        <v>0.34539250079531786</v>
      </c>
      <c r="W110" s="361">
        <v>0.3390310440204985</v>
      </c>
      <c r="X110" s="361">
        <v>0.32833110237302715</v>
      </c>
      <c r="Y110" s="397">
        <v>0.31635822518131257</v>
      </c>
      <c r="Z110" s="300">
        <f t="shared" si="82"/>
        <v>0.27130762263986652</v>
      </c>
      <c r="AA110" s="302">
        <f t="shared" si="83"/>
        <v>0.26640192186456146</v>
      </c>
      <c r="AB110" s="1054">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1055">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334">
        <f t="shared" si="93"/>
        <v>0</v>
      </c>
      <c r="AE110" s="1043">
        <f t="shared" si="90"/>
        <v>6.9129451181913854E-2</v>
      </c>
      <c r="AF110" s="1043">
        <f t="shared" si="91"/>
        <v>0.27130762263986652</v>
      </c>
      <c r="AG110" s="1043">
        <f t="shared" si="92"/>
        <v>0.34043707382178034</v>
      </c>
      <c r="AH110" s="1280">
        <f t="shared" si="88"/>
        <v>0.20306087819948568</v>
      </c>
      <c r="AI110" s="1043">
        <f t="shared" si="89"/>
        <v>0.79693912180051441</v>
      </c>
      <c r="AJ110" s="1277"/>
      <c r="AK110" s="1279"/>
      <c r="AL110" s="1279"/>
      <c r="AM110" s="1279"/>
      <c r="AN110" s="1277"/>
      <c r="AO110" s="1279"/>
      <c r="AP110" s="1277"/>
      <c r="AQ110" s="1277"/>
      <c r="AR110" s="1277"/>
      <c r="AS110" s="1277"/>
    </row>
    <row r="111" spans="1:45" x14ac:dyDescent="0.2">
      <c r="A111" s="348">
        <v>2042</v>
      </c>
      <c r="B111" s="362">
        <v>9.4278530470635738E-2</v>
      </c>
      <c r="C111" s="363">
        <v>0.18372847079861485</v>
      </c>
      <c r="D111" s="363">
        <v>0.36725025492979307</v>
      </c>
      <c r="E111" s="363">
        <v>0.33044885888569758</v>
      </c>
      <c r="F111" s="363">
        <v>0.31243897563302897</v>
      </c>
      <c r="G111" s="363">
        <v>0.2885617454330876</v>
      </c>
      <c r="H111" s="363">
        <v>0.27835659145881098</v>
      </c>
      <c r="I111" s="363">
        <v>0.26887053726143312</v>
      </c>
      <c r="J111" s="363">
        <v>0.25782591608683741</v>
      </c>
      <c r="K111" s="363">
        <v>0.24961152147577098</v>
      </c>
      <c r="L111" s="398">
        <v>0.2359978176327131</v>
      </c>
      <c r="M111" s="314">
        <f t="shared" si="80"/>
        <v>6.5294021408550021E-2</v>
      </c>
      <c r="N111" s="316">
        <f t="shared" si="81"/>
        <v>6.7512245232867807E-2</v>
      </c>
      <c r="O111" s="362">
        <v>9.4278530470635738E-2</v>
      </c>
      <c r="P111" s="363">
        <v>0.20487642022289215</v>
      </c>
      <c r="Q111" s="363">
        <v>0.38558080589103205</v>
      </c>
      <c r="R111" s="363">
        <v>0.38897697054983166</v>
      </c>
      <c r="S111" s="363">
        <v>0.36742200929000352</v>
      </c>
      <c r="T111" s="363">
        <v>0.35854652607386722</v>
      </c>
      <c r="U111" s="363">
        <v>0.34883019746531935</v>
      </c>
      <c r="V111" s="363">
        <v>0.33612487744398217</v>
      </c>
      <c r="W111" s="363">
        <v>0.32676338728053406</v>
      </c>
      <c r="X111" s="363">
        <v>0.31574669471385042</v>
      </c>
      <c r="Y111" s="398">
        <v>0.30164729376076271</v>
      </c>
      <c r="Z111" s="314">
        <f t="shared" si="82"/>
        <v>0.26707976855945237</v>
      </c>
      <c r="AA111" s="316">
        <f t="shared" si="83"/>
        <v>0.26299846473387556</v>
      </c>
      <c r="AB111" s="1054">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1055">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334">
        <f t="shared" si="93"/>
        <v>0</v>
      </c>
      <c r="AE111" s="1043">
        <f t="shared" si="90"/>
        <v>6.5294021408550021E-2</v>
      </c>
      <c r="AF111" s="1043">
        <f t="shared" si="91"/>
        <v>0.26707976855945237</v>
      </c>
      <c r="AG111" s="1043">
        <f t="shared" si="92"/>
        <v>0.33237378996800238</v>
      </c>
      <c r="AH111" s="1280">
        <f t="shared" si="88"/>
        <v>0.19644756409594114</v>
      </c>
      <c r="AI111" s="1043">
        <f t="shared" si="89"/>
        <v>0.80355243590405889</v>
      </c>
      <c r="AJ111" s="1277"/>
      <c r="AK111" s="1279"/>
      <c r="AL111" s="1279"/>
      <c r="AM111" s="1279"/>
      <c r="AN111" s="1277"/>
      <c r="AO111" s="1279"/>
      <c r="AP111" s="1277"/>
      <c r="AQ111" s="1277"/>
      <c r="AR111" s="1277"/>
      <c r="AS111" s="1277"/>
    </row>
    <row r="112" spans="1:45" x14ac:dyDescent="0.2">
      <c r="A112" s="348">
        <v>2043</v>
      </c>
      <c r="B112" s="362">
        <v>9.4278531378272398E-2</v>
      </c>
      <c r="C112" s="363">
        <v>0.1834782224112079</v>
      </c>
      <c r="D112" s="363">
        <v>0.34717831258081439</v>
      </c>
      <c r="E112" s="363">
        <v>0.3126673960970181</v>
      </c>
      <c r="F112" s="363">
        <v>0.29825733894596018</v>
      </c>
      <c r="G112" s="363">
        <v>0.27727360501126191</v>
      </c>
      <c r="H112" s="363">
        <v>0.26616704500722482</v>
      </c>
      <c r="I112" s="363">
        <v>0.25534415396849275</v>
      </c>
      <c r="J112" s="363">
        <v>0.24666381532531093</v>
      </c>
      <c r="K112" s="363">
        <v>0.24063644044077198</v>
      </c>
      <c r="L112" s="398">
        <v>0.22842047369627419</v>
      </c>
      <c r="M112" s="314">
        <f t="shared" si="80"/>
        <v>6.2386411687491462E-2</v>
      </c>
      <c r="N112" s="316">
        <f t="shared" si="81"/>
        <v>6.4489620610477458E-2</v>
      </c>
      <c r="O112" s="362">
        <v>9.4278531378272398E-2</v>
      </c>
      <c r="P112" s="363">
        <v>0.20482242657649599</v>
      </c>
      <c r="Q112" s="363">
        <v>0.3850010272255871</v>
      </c>
      <c r="R112" s="363">
        <v>0.38617383015898665</v>
      </c>
      <c r="S112" s="363">
        <v>0.36053276422764424</v>
      </c>
      <c r="T112" s="363">
        <v>0.34696925366530029</v>
      </c>
      <c r="U112" s="363">
        <v>0.33497085743409183</v>
      </c>
      <c r="V112" s="363">
        <v>0.32161727806712642</v>
      </c>
      <c r="W112" s="363">
        <v>0.31299837376448242</v>
      </c>
      <c r="X112" s="363">
        <v>0.30254796803959083</v>
      </c>
      <c r="Y112" s="398">
        <v>0.29182697822457676</v>
      </c>
      <c r="Z112" s="314">
        <f t="shared" si="82"/>
        <v>0.25824079102050884</v>
      </c>
      <c r="AA112" s="316">
        <f t="shared" si="83"/>
        <v>0.2551356709633289</v>
      </c>
      <c r="AB112" s="1054">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1055">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334">
        <f t="shared" si="93"/>
        <v>0</v>
      </c>
      <c r="AE112" s="1043">
        <f t="shared" si="90"/>
        <v>6.2386411687491462E-2</v>
      </c>
      <c r="AF112" s="1043">
        <f t="shared" si="91"/>
        <v>0.25824079102050884</v>
      </c>
      <c r="AG112" s="1043">
        <f t="shared" si="92"/>
        <v>0.32062720270800033</v>
      </c>
      <c r="AH112" s="1280">
        <f t="shared" si="88"/>
        <v>0.19457616559224902</v>
      </c>
      <c r="AI112" s="1043">
        <f t="shared" si="89"/>
        <v>0.80542383440775089</v>
      </c>
      <c r="AJ112" s="1277"/>
      <c r="AK112" s="1279"/>
      <c r="AL112" s="1279"/>
      <c r="AM112" s="1279"/>
      <c r="AN112" s="1277"/>
      <c r="AO112" s="1279"/>
      <c r="AP112" s="1277"/>
      <c r="AQ112" s="1277"/>
      <c r="AR112" s="1277"/>
      <c r="AS112" s="1277"/>
    </row>
    <row r="113" spans="1:45" x14ac:dyDescent="0.2">
      <c r="A113" s="348">
        <v>2044</v>
      </c>
      <c r="B113" s="362">
        <v>9.4278531712173277E-2</v>
      </c>
      <c r="C113" s="363">
        <v>0.18189928696585614</v>
      </c>
      <c r="D113" s="363">
        <v>0.32721510165979589</v>
      </c>
      <c r="E113" s="363">
        <v>0.29461057279908015</v>
      </c>
      <c r="F113" s="363">
        <v>0.28320802909822973</v>
      </c>
      <c r="G113" s="363">
        <v>0.26442218361175346</v>
      </c>
      <c r="H113" s="363">
        <v>0.25601103262961439</v>
      </c>
      <c r="I113" s="363">
        <v>0.24575573964847411</v>
      </c>
      <c r="J113" s="363">
        <v>0.23679185834540822</v>
      </c>
      <c r="K113" s="363">
        <v>0.2321306496630974</v>
      </c>
      <c r="L113" s="398">
        <v>0.22221056948265255</v>
      </c>
      <c r="M113" s="314">
        <f t="shared" si="80"/>
        <v>5.9722874455256536E-2</v>
      </c>
      <c r="N113" s="316">
        <f t="shared" si="81"/>
        <v>6.1631980803091561E-2</v>
      </c>
      <c r="O113" s="362">
        <v>9.4278531712173277E-2</v>
      </c>
      <c r="P113" s="363">
        <v>0.2121474578147072</v>
      </c>
      <c r="Q113" s="363">
        <v>0.38205174972180506</v>
      </c>
      <c r="R113" s="363">
        <v>0.37386011820315218</v>
      </c>
      <c r="S113" s="363">
        <v>0.34581622910185272</v>
      </c>
      <c r="T113" s="363">
        <v>0.33612249186897342</v>
      </c>
      <c r="U113" s="363">
        <v>0.32059259958793823</v>
      </c>
      <c r="V113" s="363">
        <v>0.30800216117415546</v>
      </c>
      <c r="W113" s="363">
        <v>0.30100881511265687</v>
      </c>
      <c r="X113" s="363">
        <v>0.29036703977411715</v>
      </c>
      <c r="Y113" s="398">
        <v>0.28443174819108769</v>
      </c>
      <c r="Z113" s="314">
        <f t="shared" si="82"/>
        <v>0.2487228984075128</v>
      </c>
      <c r="AA113" s="316">
        <f t="shared" si="83"/>
        <v>0.246239290012639</v>
      </c>
      <c r="AB113" s="1054">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1055">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334">
        <f t="shared" si="93"/>
        <v>0</v>
      </c>
      <c r="AE113" s="1043">
        <f t="shared" si="90"/>
        <v>5.9722874455256536E-2</v>
      </c>
      <c r="AF113" s="1043">
        <f t="shared" si="91"/>
        <v>0.2487228984075128</v>
      </c>
      <c r="AG113" s="1043">
        <f t="shared" si="92"/>
        <v>0.30844577286276931</v>
      </c>
      <c r="AH113" s="1280">
        <f t="shared" si="88"/>
        <v>0.19362519998556718</v>
      </c>
      <c r="AI113" s="1043">
        <f t="shared" si="89"/>
        <v>0.80637480001443296</v>
      </c>
      <c r="AJ113" s="1277"/>
      <c r="AK113" s="1279"/>
      <c r="AL113" s="1279"/>
      <c r="AM113" s="1279"/>
      <c r="AN113" s="1277"/>
      <c r="AO113" s="1279"/>
      <c r="AP113" s="1277"/>
      <c r="AQ113" s="1277"/>
      <c r="AR113" s="1277"/>
      <c r="AS113" s="1277"/>
    </row>
    <row r="114" spans="1:45" ht="13.5" thickBot="1" x14ac:dyDescent="0.25">
      <c r="A114" s="346">
        <v>2045</v>
      </c>
      <c r="B114" s="364">
        <v>9.4278531835008533E-2</v>
      </c>
      <c r="C114" s="365">
        <v>0.17527915679325787</v>
      </c>
      <c r="D114" s="365">
        <v>0.3037701897412014</v>
      </c>
      <c r="E114" s="365">
        <v>0.27615161889623663</v>
      </c>
      <c r="F114" s="365">
        <v>0.26862630616510563</v>
      </c>
      <c r="G114" s="365">
        <v>0.25346071824719862</v>
      </c>
      <c r="H114" s="365">
        <v>0.24499113161911532</v>
      </c>
      <c r="I114" s="365">
        <v>0.23648935583207731</v>
      </c>
      <c r="J114" s="365">
        <v>0.23021005863883881</v>
      </c>
      <c r="K114" s="365">
        <v>0.22577140687755001</v>
      </c>
      <c r="L114" s="399">
        <v>0.21917176851999556</v>
      </c>
      <c r="M114" s="328">
        <f t="shared" si="80"/>
        <v>5.7145370440661196E-2</v>
      </c>
      <c r="N114" s="330">
        <f t="shared" si="81"/>
        <v>5.8783994387923158E-2</v>
      </c>
      <c r="O114" s="364">
        <v>9.4278531835008533E-2</v>
      </c>
      <c r="P114" s="365">
        <v>0.21153805006579651</v>
      </c>
      <c r="Q114" s="365">
        <v>0.37189569030347586</v>
      </c>
      <c r="R114" s="365">
        <v>0.35439673321059723</v>
      </c>
      <c r="S114" s="365">
        <v>0.32907158903139827</v>
      </c>
      <c r="T114" s="365">
        <v>0.31737577939182338</v>
      </c>
      <c r="U114" s="365">
        <v>0.30743378281029193</v>
      </c>
      <c r="V114" s="365">
        <v>0.29730216053479569</v>
      </c>
      <c r="W114" s="365">
        <v>0.29039754626215036</v>
      </c>
      <c r="X114" s="365">
        <v>0.28252036085736859</v>
      </c>
      <c r="Y114" s="399">
        <v>0.27695353545995621</v>
      </c>
      <c r="Z114" s="328">
        <f t="shared" si="82"/>
        <v>0.23796527580514676</v>
      </c>
      <c r="AA114" s="330">
        <f t="shared" si="83"/>
        <v>0.23547009650853212</v>
      </c>
      <c r="AB114" s="1054">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1055">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334">
        <f t="shared" si="93"/>
        <v>0</v>
      </c>
      <c r="AE114" s="1043">
        <f t="shared" si="90"/>
        <v>5.7145370440661196E-2</v>
      </c>
      <c r="AF114" s="1043">
        <f t="shared" si="91"/>
        <v>0.23796527580514676</v>
      </c>
      <c r="AG114" s="1043">
        <f t="shared" si="92"/>
        <v>0.29511064624580796</v>
      </c>
      <c r="AH114" s="1280">
        <f t="shared" si="88"/>
        <v>0.19364049100777889</v>
      </c>
      <c r="AI114" s="1043">
        <f t="shared" si="89"/>
        <v>0.80635950899222109</v>
      </c>
      <c r="AJ114" s="1277"/>
      <c r="AK114" s="1279"/>
      <c r="AL114" s="1279"/>
      <c r="AM114" s="1279"/>
      <c r="AN114" s="1277"/>
      <c r="AO114" s="1279"/>
      <c r="AP114" s="1277"/>
      <c r="AQ114" s="1277"/>
      <c r="AR114" s="1277"/>
      <c r="AS114" s="1277"/>
    </row>
    <row r="115" spans="1:45" x14ac:dyDescent="0.2">
      <c r="A115" s="347">
        <v>2046</v>
      </c>
      <c r="B115" s="360">
        <v>9.4278531835008533E-2</v>
      </c>
      <c r="C115" s="361">
        <v>0.17159688923422062</v>
      </c>
      <c r="D115" s="361">
        <v>0.27707275932848818</v>
      </c>
      <c r="E115" s="361">
        <v>0.26491219157873858</v>
      </c>
      <c r="F115" s="361">
        <v>0.26049745913257688</v>
      </c>
      <c r="G115" s="361">
        <v>0.24733085718683109</v>
      </c>
      <c r="H115" s="361">
        <v>0.23923448863205249</v>
      </c>
      <c r="I115" s="361">
        <v>0.23334588410040871</v>
      </c>
      <c r="J115" s="361">
        <v>0.22713339571255217</v>
      </c>
      <c r="K115" s="361">
        <v>0.22277679980097281</v>
      </c>
      <c r="L115" s="397">
        <v>0.21697714785499828</v>
      </c>
      <c r="M115" s="300">
        <f t="shared" si="80"/>
        <v>5.5730407187763051E-2</v>
      </c>
      <c r="N115" s="302">
        <f t="shared" si="81"/>
        <v>5.7120055771402098E-2</v>
      </c>
      <c r="O115" s="360">
        <v>9.4278531835008533E-2</v>
      </c>
      <c r="P115" s="361">
        <v>0.21079046893507014</v>
      </c>
      <c r="Q115" s="361">
        <v>0.36021722455312261</v>
      </c>
      <c r="R115" s="361">
        <v>0.34157216216889014</v>
      </c>
      <c r="S115" s="361">
        <v>0.32322475355536606</v>
      </c>
      <c r="T115" s="361">
        <v>0.311184032035903</v>
      </c>
      <c r="U115" s="361">
        <v>0.30102495869522861</v>
      </c>
      <c r="V115" s="361">
        <v>0.29114597370234896</v>
      </c>
      <c r="W115" s="361">
        <v>0.2844712570251306</v>
      </c>
      <c r="X115" s="361">
        <v>0.27913430970362019</v>
      </c>
      <c r="Y115" s="397">
        <v>0.27376362651553454</v>
      </c>
      <c r="Z115" s="300">
        <f t="shared" si="82"/>
        <v>0.23317066969466549</v>
      </c>
      <c r="AA115" s="302">
        <f t="shared" si="83"/>
        <v>0.23056675115212127</v>
      </c>
      <c r="AB115" s="1054">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1055">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334">
        <f t="shared" si="93"/>
        <v>0</v>
      </c>
      <c r="AE115" s="1043">
        <f t="shared" si="90"/>
        <v>5.5730407187763051E-2</v>
      </c>
      <c r="AF115" s="1043">
        <f t="shared" si="91"/>
        <v>0.23317066969466549</v>
      </c>
      <c r="AG115" s="1043">
        <f t="shared" si="92"/>
        <v>0.28890107688242855</v>
      </c>
      <c r="AH115" s="1280">
        <f t="shared" si="88"/>
        <v>0.19290480945643254</v>
      </c>
      <c r="AI115" s="1043">
        <f t="shared" si="89"/>
        <v>0.80709519054356738</v>
      </c>
      <c r="AJ115" s="1277"/>
      <c r="AK115" s="1279"/>
      <c r="AL115" s="1279"/>
      <c r="AM115" s="1279"/>
      <c r="AN115" s="1277"/>
      <c r="AO115" s="1279"/>
      <c r="AP115" s="1277"/>
      <c r="AQ115" s="1277"/>
      <c r="AR115" s="1277"/>
      <c r="AS115" s="1277"/>
    </row>
    <row r="116" spans="1:45" x14ac:dyDescent="0.2">
      <c r="A116" s="348">
        <v>2047</v>
      </c>
      <c r="B116" s="362">
        <v>9.4278531835008533E-2</v>
      </c>
      <c r="C116" s="363">
        <v>0.14797087799289327</v>
      </c>
      <c r="D116" s="363">
        <v>0.26581876375702834</v>
      </c>
      <c r="E116" s="363">
        <v>0.25891813575861877</v>
      </c>
      <c r="F116" s="363">
        <v>0.25528211807679196</v>
      </c>
      <c r="G116" s="363">
        <v>0.24268112347918208</v>
      </c>
      <c r="H116" s="363">
        <v>0.23598498903054638</v>
      </c>
      <c r="I116" s="363">
        <v>0.22954100411884071</v>
      </c>
      <c r="J116" s="363">
        <v>0.22369119339950969</v>
      </c>
      <c r="K116" s="363">
        <v>0.2212537409876256</v>
      </c>
      <c r="L116" s="398">
        <v>0.21560889502999828</v>
      </c>
      <c r="M116" s="314">
        <f t="shared" si="80"/>
        <v>5.4787221874071146E-2</v>
      </c>
      <c r="N116" s="316">
        <f t="shared" si="81"/>
        <v>5.5995076386600347E-2</v>
      </c>
      <c r="O116" s="362">
        <v>9.4278531835008533E-2</v>
      </c>
      <c r="P116" s="363">
        <v>0.18778089615569318</v>
      </c>
      <c r="Q116" s="363">
        <v>0.3511771614633315</v>
      </c>
      <c r="R116" s="363">
        <v>0.33321382552303919</v>
      </c>
      <c r="S116" s="363">
        <v>0.31555696382013904</v>
      </c>
      <c r="T116" s="363">
        <v>0.30661829995088524</v>
      </c>
      <c r="U116" s="363">
        <v>0.29426500918291632</v>
      </c>
      <c r="V116" s="363">
        <v>0.28475308745645983</v>
      </c>
      <c r="W116" s="363">
        <v>0.28061264155585708</v>
      </c>
      <c r="X116" s="363">
        <v>0.27544615683551027</v>
      </c>
      <c r="Y116" s="398">
        <v>0.27031107995877729</v>
      </c>
      <c r="Z116" s="314">
        <f t="shared" si="82"/>
        <v>0.22851440637031742</v>
      </c>
      <c r="AA116" s="316">
        <f t="shared" si="83"/>
        <v>0.22550911216743719</v>
      </c>
      <c r="AB116" s="1054">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1055">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334">
        <f t="shared" si="93"/>
        <v>0</v>
      </c>
      <c r="AE116" s="1043">
        <f t="shared" si="90"/>
        <v>5.4787221874071146E-2</v>
      </c>
      <c r="AF116" s="1043">
        <f t="shared" si="91"/>
        <v>0.22851440637031742</v>
      </c>
      <c r="AG116" s="1043">
        <f t="shared" si="92"/>
        <v>0.28330162824438854</v>
      </c>
      <c r="AH116" s="1280">
        <f t="shared" si="88"/>
        <v>0.19338830565000939</v>
      </c>
      <c r="AI116" s="1043">
        <f t="shared" si="89"/>
        <v>0.80661169434999069</v>
      </c>
      <c r="AJ116" s="1277"/>
      <c r="AK116" s="1279"/>
      <c r="AL116" s="1279"/>
      <c r="AM116" s="1279"/>
      <c r="AN116" s="1277"/>
      <c r="AO116" s="1279"/>
      <c r="AP116" s="1277"/>
      <c r="AQ116" s="1277"/>
      <c r="AR116" s="1277"/>
      <c r="AS116" s="1277"/>
    </row>
    <row r="117" spans="1:45" x14ac:dyDescent="0.2">
      <c r="A117" s="348">
        <v>2048</v>
      </c>
      <c r="B117" s="362">
        <v>9.4278531835008533E-2</v>
      </c>
      <c r="C117" s="363">
        <v>0.15598427792143432</v>
      </c>
      <c r="D117" s="363">
        <v>0.25511267499094475</v>
      </c>
      <c r="E117" s="363">
        <v>0.25291682473716054</v>
      </c>
      <c r="F117" s="363">
        <v>0.25014294070452914</v>
      </c>
      <c r="G117" s="363">
        <v>0.23982658809102708</v>
      </c>
      <c r="H117" s="363">
        <v>0.23343732796303163</v>
      </c>
      <c r="I117" s="363">
        <v>0.2279157845145712</v>
      </c>
      <c r="J117" s="363">
        <v>0.22215263511023856</v>
      </c>
      <c r="K117" s="363">
        <v>0.21960816411037826</v>
      </c>
      <c r="L117" s="398">
        <v>0.21430291076090285</v>
      </c>
      <c r="M117" s="314">
        <f t="shared" si="80"/>
        <v>5.4083072961402717E-2</v>
      </c>
      <c r="N117" s="316">
        <f t="shared" si="81"/>
        <v>5.5203554593994494E-2</v>
      </c>
      <c r="O117" s="362">
        <v>9.4278531835008533E-2</v>
      </c>
      <c r="P117" s="363">
        <v>0.20764003930816538</v>
      </c>
      <c r="Q117" s="363">
        <v>0.34342196538101977</v>
      </c>
      <c r="R117" s="363">
        <v>0.32538751230769419</v>
      </c>
      <c r="S117" s="363">
        <v>0.31136030203837645</v>
      </c>
      <c r="T117" s="363">
        <v>0.30271773329694329</v>
      </c>
      <c r="U117" s="363">
        <v>0.29065939703396287</v>
      </c>
      <c r="V117" s="363">
        <v>0.28140274629281525</v>
      </c>
      <c r="W117" s="363">
        <v>0.27739946650491637</v>
      </c>
      <c r="X117" s="363">
        <v>0.27239322006249023</v>
      </c>
      <c r="Y117" s="398">
        <v>0.26749824164866454</v>
      </c>
      <c r="Z117" s="314">
        <f t="shared" si="82"/>
        <v>0.22567043796073477</v>
      </c>
      <c r="AA117" s="316">
        <f t="shared" si="83"/>
        <v>0.22295694934367624</v>
      </c>
      <c r="AB117" s="1054">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1055">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334">
        <f t="shared" si="93"/>
        <v>0</v>
      </c>
      <c r="AE117" s="1043">
        <f t="shared" si="90"/>
        <v>5.4083072961402717E-2</v>
      </c>
      <c r="AF117" s="1043">
        <f t="shared" si="91"/>
        <v>0.22567043796073477</v>
      </c>
      <c r="AG117" s="1043">
        <f t="shared" si="92"/>
        <v>0.27975351092213752</v>
      </c>
      <c r="AH117" s="1280">
        <f t="shared" si="88"/>
        <v>0.19332401864459675</v>
      </c>
      <c r="AI117" s="1043">
        <f t="shared" si="89"/>
        <v>0.80667598135540319</v>
      </c>
      <c r="AJ117" s="1277"/>
      <c r="AK117" s="1279"/>
      <c r="AL117" s="1279"/>
      <c r="AM117" s="1279"/>
      <c r="AN117" s="1277"/>
      <c r="AO117" s="1279"/>
      <c r="AP117" s="1277"/>
      <c r="AQ117" s="1277"/>
      <c r="AR117" s="1277"/>
      <c r="AS117" s="1277"/>
    </row>
    <row r="118" spans="1:45" x14ac:dyDescent="0.2">
      <c r="A118" s="348">
        <v>2049</v>
      </c>
      <c r="B118" s="362">
        <v>9.4278531835008533E-2</v>
      </c>
      <c r="C118" s="363">
        <v>0.1306608936905253</v>
      </c>
      <c r="D118" s="363">
        <v>0.25031170486639692</v>
      </c>
      <c r="E118" s="363">
        <v>0.24678437632211234</v>
      </c>
      <c r="F118" s="363">
        <v>0.2468961582248575</v>
      </c>
      <c r="G118" s="363">
        <v>0.23717450619036093</v>
      </c>
      <c r="H118" s="363">
        <v>0.23110639846095735</v>
      </c>
      <c r="I118" s="363">
        <v>0.22589684414605959</v>
      </c>
      <c r="J118" s="363">
        <v>0.22187600278077327</v>
      </c>
      <c r="K118" s="363">
        <v>0.21816594328577665</v>
      </c>
      <c r="L118" s="398">
        <v>0.21417691273405623</v>
      </c>
      <c r="M118" s="314">
        <f t="shared" si="80"/>
        <v>5.3470266776083832E-2</v>
      </c>
      <c r="N118" s="316">
        <f t="shared" si="81"/>
        <v>5.440967370555487E-2</v>
      </c>
      <c r="O118" s="362">
        <v>9.4278531835008533E-2</v>
      </c>
      <c r="P118" s="363">
        <v>0.18257553680749436</v>
      </c>
      <c r="Q118" s="363">
        <v>0.33629073641289309</v>
      </c>
      <c r="R118" s="363">
        <v>0.32196688818444508</v>
      </c>
      <c r="S118" s="363">
        <v>0.30555129903784856</v>
      </c>
      <c r="T118" s="363">
        <v>0.29743189649893637</v>
      </c>
      <c r="U118" s="363">
        <v>0.28812275809848309</v>
      </c>
      <c r="V118" s="363">
        <v>0.27904614877528811</v>
      </c>
      <c r="W118" s="363">
        <v>0.27510240390185348</v>
      </c>
      <c r="X118" s="363">
        <v>0.26823353998663457</v>
      </c>
      <c r="Y118" s="398">
        <v>0.26534271761470801</v>
      </c>
      <c r="Z118" s="314">
        <f t="shared" si="82"/>
        <v>0.22271679917113471</v>
      </c>
      <c r="AA118" s="316">
        <f t="shared" si="83"/>
        <v>0.21949452264129962</v>
      </c>
      <c r="AB118" s="1054">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1055">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334">
        <f t="shared" si="93"/>
        <v>0</v>
      </c>
      <c r="AE118" s="1043">
        <f t="shared" si="90"/>
        <v>5.3470266776083832E-2</v>
      </c>
      <c r="AF118" s="1043">
        <f t="shared" si="91"/>
        <v>0.22271679917113471</v>
      </c>
      <c r="AG118" s="1043">
        <f t="shared" si="92"/>
        <v>0.27618706594721854</v>
      </c>
      <c r="AH118" s="1280">
        <f t="shared" si="88"/>
        <v>0.19360163225855917</v>
      </c>
      <c r="AI118" s="1043">
        <f t="shared" si="89"/>
        <v>0.80639836774144091</v>
      </c>
      <c r="AJ118" s="1277"/>
      <c r="AK118" s="1279"/>
      <c r="AL118" s="1279"/>
      <c r="AM118" s="1279"/>
      <c r="AN118" s="1277"/>
      <c r="AO118" s="1279"/>
      <c r="AP118" s="1277"/>
      <c r="AQ118" s="1277"/>
      <c r="AR118" s="1277"/>
      <c r="AS118" s="1277"/>
    </row>
    <row r="119" spans="1:45" ht="13.5" thickBot="1" x14ac:dyDescent="0.25">
      <c r="A119" s="346">
        <v>2050</v>
      </c>
      <c r="B119" s="364">
        <v>9.4278531835008533E-2</v>
      </c>
      <c r="C119" s="365">
        <v>0.11953598088324711</v>
      </c>
      <c r="D119" s="365">
        <v>0.24237154041221884</v>
      </c>
      <c r="E119" s="365">
        <v>0.24492329850813499</v>
      </c>
      <c r="F119" s="365">
        <v>0.24678032448184339</v>
      </c>
      <c r="G119" s="365">
        <v>0.23542189597888738</v>
      </c>
      <c r="H119" s="365">
        <v>0.23099723642665362</v>
      </c>
      <c r="I119" s="365">
        <v>0.22578426429308965</v>
      </c>
      <c r="J119" s="365">
        <v>0.22037494052310003</v>
      </c>
      <c r="K119" s="365">
        <v>0.21804831261169455</v>
      </c>
      <c r="L119" s="399">
        <v>0.21294437741102309</v>
      </c>
      <c r="M119" s="328">
        <f t="shared" si="80"/>
        <v>5.3285569569823256E-2</v>
      </c>
      <c r="N119" s="330">
        <f t="shared" si="81"/>
        <v>5.4137189820920278E-2</v>
      </c>
      <c r="O119" s="364">
        <v>9.4249489284988747E-2</v>
      </c>
      <c r="P119" s="365">
        <v>0.17895380144105175</v>
      </c>
      <c r="Q119" s="365">
        <v>0.33344256555643892</v>
      </c>
      <c r="R119" s="365">
        <v>0.31662600712934424</v>
      </c>
      <c r="S119" s="365">
        <v>0.30103397930754799</v>
      </c>
      <c r="T119" s="365">
        <v>0.29318080314749079</v>
      </c>
      <c r="U119" s="365">
        <v>0.2865532445454288</v>
      </c>
      <c r="V119" s="365">
        <v>0.27542289932324704</v>
      </c>
      <c r="W119" s="365">
        <v>0.27162276048662742</v>
      </c>
      <c r="X119" s="365">
        <v>0.26816094508055294</v>
      </c>
      <c r="Y119" s="399">
        <v>0.26231924222161229</v>
      </c>
      <c r="Z119" s="328">
        <f t="shared" si="82"/>
        <v>0.22034058257196282</v>
      </c>
      <c r="AA119" s="330">
        <f t="shared" si="83"/>
        <v>0.2170211988006836</v>
      </c>
      <c r="AB119" s="1056">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1057">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335">
        <f t="shared" si="93"/>
        <v>0</v>
      </c>
      <c r="AE119" s="1043">
        <f t="shared" si="90"/>
        <v>5.3285569569823256E-2</v>
      </c>
      <c r="AF119" s="1043">
        <f t="shared" si="91"/>
        <v>0.22034058257196282</v>
      </c>
      <c r="AG119" s="1043">
        <f t="shared" si="92"/>
        <v>0.27362615214178609</v>
      </c>
      <c r="AH119" s="1280">
        <f t="shared" si="88"/>
        <v>0.19473858457144855</v>
      </c>
      <c r="AI119" s="1043">
        <f t="shared" si="89"/>
        <v>0.80526141542855134</v>
      </c>
      <c r="AJ119" s="1277"/>
      <c r="AK119" s="1279"/>
      <c r="AL119" s="1279"/>
      <c r="AM119" s="1279"/>
      <c r="AN119" s="1277"/>
      <c r="AO119" s="1279"/>
      <c r="AP119" s="1277"/>
      <c r="AQ119" s="1277"/>
      <c r="AR119" s="1277"/>
      <c r="AS119" s="1277"/>
    </row>
    <row r="120" spans="1:45" x14ac:dyDescent="0.2">
      <c r="B120" s="245" t="str">
        <f>"Output generated: "&amp; TEXT($P$4,"m/dd/yyyy hh:mm")</f>
        <v>Output generated: 2/21/2020 18:23</v>
      </c>
      <c r="U120" s="245" t="str">
        <f>"Output generated: "&amp; TEXT($P$5,"m/dd/yyyy hh:mm")</f>
        <v>Output generated: 2/21/2020 18:23</v>
      </c>
      <c r="AE120" s="1043"/>
      <c r="AF120" s="1043"/>
      <c r="AG120" s="1043"/>
      <c r="AH120" s="1043"/>
      <c r="AI120" s="1043"/>
    </row>
    <row r="121" spans="1:45" ht="13.5" thickBot="1" x14ac:dyDescent="0.25">
      <c r="AE121" s="1043"/>
      <c r="AF121" s="1043"/>
      <c r="AG121" s="1043"/>
      <c r="AH121" s="1043"/>
      <c r="AI121" s="1043"/>
    </row>
    <row r="122" spans="1:45" ht="15" x14ac:dyDescent="0.25">
      <c r="A122" s="351"/>
      <c r="B122" s="1561" t="s">
        <v>191</v>
      </c>
      <c r="C122" s="1562"/>
      <c r="D122" s="1562"/>
      <c r="E122" s="1562"/>
      <c r="F122" s="1562"/>
      <c r="G122" s="1562"/>
      <c r="H122" s="1562"/>
      <c r="I122" s="1562"/>
      <c r="J122" s="1562"/>
      <c r="K122" s="1562"/>
      <c r="L122" s="1562"/>
      <c r="M122" s="1562"/>
      <c r="N122" s="1563"/>
      <c r="O122" s="1561" t="s">
        <v>192</v>
      </c>
      <c r="P122" s="1562"/>
      <c r="Q122" s="1562"/>
      <c r="R122" s="1562"/>
      <c r="S122" s="1562"/>
      <c r="T122" s="1562"/>
      <c r="U122" s="1562"/>
      <c r="V122" s="1562"/>
      <c r="W122" s="1562"/>
      <c r="X122" s="1562"/>
      <c r="Y122" s="1562"/>
      <c r="Z122" s="1562"/>
      <c r="AA122" s="1563"/>
      <c r="AE122" s="1043"/>
      <c r="AF122" s="1043"/>
      <c r="AG122" s="1043"/>
      <c r="AH122" s="1043"/>
      <c r="AI122" s="1043"/>
      <c r="AJ122" s="245"/>
      <c r="AK122" s="245"/>
      <c r="AL122" s="245"/>
      <c r="AM122" s="245"/>
    </row>
    <row r="123" spans="1:45" x14ac:dyDescent="0.2">
      <c r="A123" s="342"/>
      <c r="B123" s="1558" t="s">
        <v>121</v>
      </c>
      <c r="C123" s="1559"/>
      <c r="D123" s="1559"/>
      <c r="E123" s="1559"/>
      <c r="F123" s="1559"/>
      <c r="G123" s="1559"/>
      <c r="H123" s="1559"/>
      <c r="I123" s="1559"/>
      <c r="J123" s="1559"/>
      <c r="K123" s="1559"/>
      <c r="L123" s="1560"/>
      <c r="M123" s="400"/>
      <c r="N123" s="343"/>
      <c r="O123" s="1558" t="s">
        <v>121</v>
      </c>
      <c r="P123" s="1559"/>
      <c r="Q123" s="1559"/>
      <c r="R123" s="1559"/>
      <c r="S123" s="1559"/>
      <c r="T123" s="1559"/>
      <c r="U123" s="1559"/>
      <c r="V123" s="1559"/>
      <c r="W123" s="1559"/>
      <c r="X123" s="1559"/>
      <c r="Y123" s="1560"/>
      <c r="Z123" s="400"/>
      <c r="AA123" s="343"/>
      <c r="AE123" s="1043"/>
      <c r="AF123" s="1043"/>
      <c r="AG123" s="1043"/>
      <c r="AH123" s="1043"/>
      <c r="AI123" s="1043"/>
      <c r="AJ123" s="245"/>
      <c r="AK123" s="245"/>
      <c r="AL123" s="245"/>
      <c r="AM123" s="245"/>
    </row>
    <row r="124" spans="1:45"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C124" s="1009" t="s">
        <v>276</v>
      </c>
      <c r="AD124" s="252" t="b">
        <f>INDEX(TECH_OPT_FUEL2_Cls1,MATCH(RIGHT(O122),TECH_OPT_ROWS_Cls1,0))&lt;&gt;"N/A"</f>
        <v>0</v>
      </c>
      <c r="AE124" s="1043"/>
      <c r="AF124" s="1043"/>
      <c r="AG124" s="1043"/>
      <c r="AH124" s="1043"/>
      <c r="AI124" s="1043"/>
      <c r="AJ124" s="245"/>
      <c r="AK124" s="245"/>
      <c r="AL124" s="245"/>
      <c r="AM124" s="245"/>
    </row>
    <row r="125" spans="1:45" ht="14.25" thickTop="1" thickBot="1" x14ac:dyDescent="0.25">
      <c r="A125" s="366" t="s">
        <v>124</v>
      </c>
      <c r="B125" s="358">
        <f t="array" ref="B125:L125">TRANSPOSE(Cls1CentTruckShr)</f>
        <v>7.9460669190030697E-3</v>
      </c>
      <c r="C125" s="359">
        <v>4.9615201402207001E-3</v>
      </c>
      <c r="D125" s="359">
        <v>9.2815995818941767E-3</v>
      </c>
      <c r="E125" s="359">
        <v>3.0833513121077051E-2</v>
      </c>
      <c r="F125" s="359">
        <v>4.3269302277925595E-2</v>
      </c>
      <c r="G125" s="359">
        <v>2.8144935330937017E-2</v>
      </c>
      <c r="H125" s="359">
        <v>6.8990329765143715E-2</v>
      </c>
      <c r="I125" s="359">
        <v>2.4926184998997059E-2</v>
      </c>
      <c r="J125" s="359">
        <v>7.8890239376675012E-3</v>
      </c>
      <c r="K125" s="359">
        <v>3.6046105934191604E-3</v>
      </c>
      <c r="L125" s="396">
        <v>7.5162351043371062E-3</v>
      </c>
      <c r="M125" s="403"/>
      <c r="N125" s="370"/>
      <c r="O125" s="358">
        <f t="array" ref="O125:Y125">TRANSPOSE(Cls1NCentTruckShr)</f>
        <v>1.2963682068270432E-2</v>
      </c>
      <c r="P125" s="359">
        <v>2.3837141813212878E-2</v>
      </c>
      <c r="Q125" s="359">
        <v>2.5768680683356839E-2</v>
      </c>
      <c r="R125" s="359">
        <v>5.7965433078982248E-2</v>
      </c>
      <c r="S125" s="359">
        <v>0.10312619102844889</v>
      </c>
      <c r="T125" s="359">
        <v>0.18550667796975542</v>
      </c>
      <c r="U125" s="359">
        <v>0.21310728355070049</v>
      </c>
      <c r="V125" s="359">
        <v>7.3364250696428643E-2</v>
      </c>
      <c r="W125" s="359">
        <v>1.9856733825595378E-2</v>
      </c>
      <c r="X125" s="359">
        <v>2.1261216059795113E-2</v>
      </c>
      <c r="Y125" s="396">
        <v>2.5879387454831333E-2</v>
      </c>
      <c r="Z125" s="403"/>
      <c r="AA125" s="370">
        <f>SUM(O125:Y125)</f>
        <v>0.76263667822937764</v>
      </c>
      <c r="AB125" s="1042"/>
      <c r="AC125" s="1009" t="s">
        <v>277</v>
      </c>
      <c r="AD125" s="252">
        <f>MATCH(RIGHT(O122),TECH_OPT_ROWS_Cls1,0)</f>
        <v>3</v>
      </c>
      <c r="AE125" s="1043"/>
      <c r="AF125" s="1043"/>
      <c r="AG125" s="1043"/>
      <c r="AH125" s="1043"/>
      <c r="AI125" s="1043"/>
      <c r="AJ125" s="245"/>
      <c r="AK125" s="245"/>
      <c r="AL125" s="245"/>
      <c r="AM125" s="245"/>
    </row>
    <row r="126" spans="1:45" x14ac:dyDescent="0.2">
      <c r="A126" s="349" t="s">
        <v>125</v>
      </c>
      <c r="B126" s="1044">
        <f t="array" ref="B126:L126">TRANSPOSE(Cls1CentVMTShr)</f>
        <v>8.9762242961142352E-4</v>
      </c>
      <c r="C126" s="1045">
        <v>1.2044238150123706E-3</v>
      </c>
      <c r="D126" s="1045">
        <v>4.1499109643594731E-3</v>
      </c>
      <c r="E126" s="1045">
        <v>1.9575808105519295E-2</v>
      </c>
      <c r="F126" s="1045">
        <v>3.4523467949689302E-2</v>
      </c>
      <c r="G126" s="1045">
        <v>2.7311948935134379E-2</v>
      </c>
      <c r="H126" s="1045">
        <v>7.6478458482655817E-2</v>
      </c>
      <c r="I126" s="1045">
        <v>3.2480526319280681E-2</v>
      </c>
      <c r="J126" s="1045">
        <v>1.1772940427842455E-2</v>
      </c>
      <c r="K126" s="1045">
        <v>6.0339283082965706E-3</v>
      </c>
      <c r="L126" s="1046">
        <v>1.5952440951210019E-2</v>
      </c>
      <c r="M126" s="404"/>
      <c r="N126" s="352"/>
      <c r="O126" s="1044">
        <f t="array" ref="O126:Y126">TRANSPOSE(Cls1NCentVMTShr)</f>
        <v>1.3589913425833078E-3</v>
      </c>
      <c r="P126" s="1045">
        <v>5.8692629772239642E-3</v>
      </c>
      <c r="Q126" s="1045">
        <v>1.2100393581509007E-2</v>
      </c>
      <c r="R126" s="1045">
        <v>3.6555003327388577E-2</v>
      </c>
      <c r="S126" s="1045">
        <v>8.3148735051829181E-2</v>
      </c>
      <c r="T126" s="1045">
        <v>0.18151138394047112</v>
      </c>
      <c r="U126" s="1045">
        <v>0.2383386372324876</v>
      </c>
      <c r="V126" s="1045">
        <v>9.5602564448196578E-2</v>
      </c>
      <c r="W126" s="1045">
        <v>2.9193025028929166E-2</v>
      </c>
      <c r="X126" s="1045">
        <v>3.5209492159336005E-2</v>
      </c>
      <c r="Y126" s="1046">
        <v>5.0731034221433824E-2</v>
      </c>
      <c r="Z126" s="404">
        <f>SUM(O126:Y126)</f>
        <v>0.76961852331138836</v>
      </c>
      <c r="AA126" s="352"/>
      <c r="AB126" s="1574" t="str">
        <f>"% of miles on f2 for Tech "&amp; RIGHT(O122)&amp;" adopters"</f>
        <v>% of miles on f2 for Tech B adopters</v>
      </c>
      <c r="AC126" s="1575"/>
      <c r="AD126" s="1576"/>
      <c r="AE126" s="1043" t="s">
        <v>314</v>
      </c>
      <c r="AF126" s="1043"/>
      <c r="AG126" s="1043"/>
      <c r="AH126" s="1280" t="s">
        <v>317</v>
      </c>
      <c r="AI126" s="1043"/>
      <c r="AJ126" s="245"/>
      <c r="AK126" s="245"/>
      <c r="AL126" s="245"/>
      <c r="AM126" s="245"/>
    </row>
    <row r="127" spans="1:45" ht="13.5" thickBot="1" x14ac:dyDescent="0.25">
      <c r="A127" s="1048" t="s">
        <v>275</v>
      </c>
      <c r="B127" s="1039">
        <f t="array" ref="B127:L127">TRANSPOSE(Cls1CentVMT/OPDAYS_Cls1)</f>
        <v>51.642967609234425</v>
      </c>
      <c r="C127" s="1040">
        <v>110.97733417848234</v>
      </c>
      <c r="D127" s="1040">
        <v>204.40224583551472</v>
      </c>
      <c r="E127" s="1040">
        <v>290.24610572847212</v>
      </c>
      <c r="F127" s="1040">
        <v>364.75750419264841</v>
      </c>
      <c r="G127" s="1040">
        <v>443.63126889109378</v>
      </c>
      <c r="H127" s="1040">
        <v>506.78134229373978</v>
      </c>
      <c r="I127" s="1040">
        <v>595.71283413609137</v>
      </c>
      <c r="J127" s="1040">
        <v>682.23089916089702</v>
      </c>
      <c r="K127" s="1040">
        <v>765.26438827532684</v>
      </c>
      <c r="L127" s="1041">
        <v>970.27871027310334</v>
      </c>
      <c r="M127" s="1037"/>
      <c r="N127" s="1038"/>
      <c r="O127" s="1039">
        <f t="array" ref="O127:Y127">TRANSPOSE(Cls1NCentVMT/OPDAYS_Cls1)</f>
        <v>47.924548633512046</v>
      </c>
      <c r="P127" s="1040">
        <v>112.56389213862748</v>
      </c>
      <c r="Q127" s="1040">
        <v>214.67280220238027</v>
      </c>
      <c r="R127" s="1040">
        <v>288.30186744262801</v>
      </c>
      <c r="S127" s="1040">
        <v>368.60089210549245</v>
      </c>
      <c r="T127" s="1040">
        <v>447.31558789932524</v>
      </c>
      <c r="U127" s="1040">
        <v>511.28831950097862</v>
      </c>
      <c r="V127" s="1040">
        <v>595.73726658362273</v>
      </c>
      <c r="W127" s="1040">
        <v>672.11099195240695</v>
      </c>
      <c r="X127" s="1040">
        <v>757.0793017898726</v>
      </c>
      <c r="Y127" s="1041">
        <v>896.16800791754974</v>
      </c>
      <c r="Z127" s="1049"/>
      <c r="AA127" s="1038"/>
      <c r="AB127" s="1051" t="s">
        <v>188</v>
      </c>
      <c r="AC127" s="1052" t="s">
        <v>15</v>
      </c>
      <c r="AD127" s="1053" t="s">
        <v>18</v>
      </c>
      <c r="AE127" s="1043" t="s">
        <v>188</v>
      </c>
      <c r="AF127" s="1043" t="s">
        <v>15</v>
      </c>
      <c r="AG127" s="1043" t="s">
        <v>18</v>
      </c>
      <c r="AH127" s="1280" t="s">
        <v>188</v>
      </c>
      <c r="AI127" s="1043" t="s">
        <v>15</v>
      </c>
      <c r="AJ127" s="245"/>
      <c r="AK127" s="245"/>
      <c r="AL127" s="245"/>
      <c r="AM127" s="245"/>
    </row>
    <row r="128" spans="1:45" ht="13.5" thickTop="1" x14ac:dyDescent="0.2">
      <c r="A128" s="1047">
        <v>2007</v>
      </c>
      <c r="B128" s="360">
        <v>0</v>
      </c>
      <c r="C128" s="361">
        <v>0</v>
      </c>
      <c r="D128" s="361">
        <v>0</v>
      </c>
      <c r="E128" s="361">
        <v>0</v>
      </c>
      <c r="F128" s="361">
        <v>0</v>
      </c>
      <c r="G128" s="361">
        <v>0</v>
      </c>
      <c r="H128" s="361">
        <v>0</v>
      </c>
      <c r="I128" s="361">
        <v>0</v>
      </c>
      <c r="J128" s="361">
        <v>0</v>
      </c>
      <c r="K128" s="361">
        <v>0</v>
      </c>
      <c r="L128" s="397">
        <v>0</v>
      </c>
      <c r="M128" s="300">
        <f t="shared" ref="M128:M171" si="94">SUMPRODUCT($B$126:$L$126,$B128:$L128)</f>
        <v>0</v>
      </c>
      <c r="N128" s="301">
        <f t="shared" ref="N128:N171" si="95">SUMPRODUCT($B$125:$L$125,$B128:$L128)</f>
        <v>0</v>
      </c>
      <c r="O128" s="360">
        <v>0</v>
      </c>
      <c r="P128" s="361">
        <v>0</v>
      </c>
      <c r="Q128" s="361">
        <v>0</v>
      </c>
      <c r="R128" s="361">
        <v>0</v>
      </c>
      <c r="S128" s="361">
        <v>0</v>
      </c>
      <c r="T128" s="361">
        <v>0</v>
      </c>
      <c r="U128" s="361">
        <v>0</v>
      </c>
      <c r="V128" s="361">
        <v>0</v>
      </c>
      <c r="W128" s="361">
        <v>0</v>
      </c>
      <c r="X128" s="361">
        <v>0</v>
      </c>
      <c r="Y128" s="397">
        <v>0</v>
      </c>
      <c r="Z128" s="300">
        <f t="shared" ref="Z128:Z171" si="96">SUMPRODUCT($O$126:$Y$126,O128:Y128)</f>
        <v>0</v>
      </c>
      <c r="AA128" s="302">
        <f t="shared" ref="AA128:AA171" si="97">SUMPRODUCT($O$125:$Y$125,$O128:$Y128)</f>
        <v>0</v>
      </c>
      <c r="AB128" s="1054">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1055">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334">
        <f t="shared" ref="AD128:AD153" si="98">AB128*AH128+AC128*AI128</f>
        <v>0</v>
      </c>
      <c r="AE128" s="1043">
        <f t="shared" ref="AE128:AE142" si="99">SUMPRODUCT($B$74:$L$74,B128:L128)</f>
        <v>0</v>
      </c>
      <c r="AF128" s="1043">
        <f t="shared" ref="AF128:AF142" si="100">SUMPRODUCT($O$74:$Y$74,O128:Y128)</f>
        <v>0</v>
      </c>
      <c r="AG128" s="1043">
        <f t="shared" ref="AG128:AG142" si="101">SUM(AE128:AF128)</f>
        <v>0</v>
      </c>
      <c r="AH128" s="1280">
        <f>IF(AG128&gt;0,AE128/AG128,0)</f>
        <v>0</v>
      </c>
      <c r="AI128" s="1043">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si="94"/>
        <v>0</v>
      </c>
      <c r="N129" s="316">
        <f t="shared" si="95"/>
        <v>0</v>
      </c>
      <c r="O129" s="362">
        <v>0</v>
      </c>
      <c r="P129" s="363">
        <v>0</v>
      </c>
      <c r="Q129" s="363">
        <v>0</v>
      </c>
      <c r="R129" s="363">
        <v>0</v>
      </c>
      <c r="S129" s="363">
        <v>0</v>
      </c>
      <c r="T129" s="363">
        <v>0</v>
      </c>
      <c r="U129" s="363">
        <v>0</v>
      </c>
      <c r="V129" s="363">
        <v>0</v>
      </c>
      <c r="W129" s="363">
        <v>0</v>
      </c>
      <c r="X129" s="363">
        <v>0</v>
      </c>
      <c r="Y129" s="398">
        <v>0</v>
      </c>
      <c r="Z129" s="314">
        <f t="shared" si="96"/>
        <v>0</v>
      </c>
      <c r="AA129" s="316">
        <f t="shared" si="97"/>
        <v>0</v>
      </c>
      <c r="AB129" s="1054">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1055">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334">
        <f t="shared" si="98"/>
        <v>0</v>
      </c>
      <c r="AE129" s="1043">
        <f t="shared" si="99"/>
        <v>0</v>
      </c>
      <c r="AF129" s="1043">
        <f t="shared" si="100"/>
        <v>0</v>
      </c>
      <c r="AG129" s="1043">
        <f t="shared" si="101"/>
        <v>0</v>
      </c>
      <c r="AH129" s="1280">
        <f t="shared" ref="AH129:AH171" si="102">IF(AG129&gt;0,AE129/AG129,0)</f>
        <v>0</v>
      </c>
      <c r="AI129" s="1043">
        <f t="shared" ref="AI129:AI171" si="103">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96"/>
        <v>0</v>
      </c>
      <c r="AA130" s="316">
        <f t="shared" si="97"/>
        <v>0</v>
      </c>
      <c r="AB130" s="1054">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1055">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334">
        <f t="shared" si="98"/>
        <v>0</v>
      </c>
      <c r="AE130" s="1043">
        <f t="shared" si="99"/>
        <v>0</v>
      </c>
      <c r="AF130" s="1043">
        <f t="shared" si="100"/>
        <v>0</v>
      </c>
      <c r="AG130" s="1043">
        <f t="shared" si="101"/>
        <v>0</v>
      </c>
      <c r="AH130" s="1280">
        <f t="shared" si="102"/>
        <v>0</v>
      </c>
      <c r="AI130" s="1043">
        <f t="shared" si="103"/>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96"/>
        <v>0</v>
      </c>
      <c r="AA131" s="330">
        <f t="shared" si="97"/>
        <v>0</v>
      </c>
      <c r="AB131" s="1054">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1055">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334">
        <f t="shared" si="98"/>
        <v>0</v>
      </c>
      <c r="AE131" s="1043">
        <f t="shared" si="99"/>
        <v>0</v>
      </c>
      <c r="AF131" s="1043">
        <f t="shared" si="100"/>
        <v>0</v>
      </c>
      <c r="AG131" s="1043">
        <f t="shared" si="101"/>
        <v>0</v>
      </c>
      <c r="AH131" s="1280">
        <f t="shared" si="102"/>
        <v>0</v>
      </c>
      <c r="AI131" s="1043">
        <f t="shared" si="103"/>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96"/>
        <v>0</v>
      </c>
      <c r="AA132" s="302">
        <f t="shared" si="97"/>
        <v>0</v>
      </c>
      <c r="AB132" s="1054">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1055">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334">
        <f t="shared" si="98"/>
        <v>0</v>
      </c>
      <c r="AE132" s="1043">
        <f t="shared" si="99"/>
        <v>0</v>
      </c>
      <c r="AF132" s="1043">
        <f t="shared" si="100"/>
        <v>0</v>
      </c>
      <c r="AG132" s="1043">
        <f t="shared" si="101"/>
        <v>0</v>
      </c>
      <c r="AH132" s="1280">
        <f t="shared" si="102"/>
        <v>0</v>
      </c>
      <c r="AI132" s="1043">
        <f t="shared" si="103"/>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96"/>
        <v>0</v>
      </c>
      <c r="AA133" s="316">
        <f t="shared" si="97"/>
        <v>0</v>
      </c>
      <c r="AB133" s="1054">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1055">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334">
        <f t="shared" si="98"/>
        <v>0</v>
      </c>
      <c r="AE133" s="1043">
        <f t="shared" si="99"/>
        <v>0</v>
      </c>
      <c r="AF133" s="1043">
        <f t="shared" si="100"/>
        <v>0</v>
      </c>
      <c r="AG133" s="1043">
        <f t="shared" si="101"/>
        <v>0</v>
      </c>
      <c r="AH133" s="1280">
        <f t="shared" si="102"/>
        <v>0</v>
      </c>
      <c r="AI133" s="1043">
        <f t="shared" si="103"/>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96"/>
        <v>0</v>
      </c>
      <c r="AA134" s="316">
        <f t="shared" si="97"/>
        <v>0</v>
      </c>
      <c r="AB134" s="1054">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1055">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334">
        <f t="shared" si="98"/>
        <v>0</v>
      </c>
      <c r="AE134" s="1043">
        <f t="shared" si="99"/>
        <v>0</v>
      </c>
      <c r="AF134" s="1043">
        <f t="shared" si="100"/>
        <v>0</v>
      </c>
      <c r="AG134" s="1043">
        <f t="shared" si="101"/>
        <v>0</v>
      </c>
      <c r="AH134" s="1280">
        <f t="shared" si="102"/>
        <v>0</v>
      </c>
      <c r="AI134" s="1043">
        <f t="shared" si="103"/>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96"/>
        <v>0</v>
      </c>
      <c r="AA135" s="316">
        <f t="shared" si="97"/>
        <v>0</v>
      </c>
      <c r="AB135" s="1054">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1055">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334">
        <f t="shared" si="98"/>
        <v>0</v>
      </c>
      <c r="AE135" s="1043">
        <f t="shared" si="99"/>
        <v>0</v>
      </c>
      <c r="AF135" s="1043">
        <f t="shared" si="100"/>
        <v>0</v>
      </c>
      <c r="AG135" s="1043">
        <f t="shared" si="101"/>
        <v>0</v>
      </c>
      <c r="AH135" s="1280">
        <f t="shared" si="102"/>
        <v>0</v>
      </c>
      <c r="AI135" s="1043">
        <f t="shared" si="103"/>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96"/>
        <v>0</v>
      </c>
      <c r="AA136" s="330">
        <f t="shared" si="97"/>
        <v>0</v>
      </c>
      <c r="AB136" s="1054">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1055">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334">
        <f t="shared" si="98"/>
        <v>0</v>
      </c>
      <c r="AE136" s="1043">
        <f t="shared" si="99"/>
        <v>0</v>
      </c>
      <c r="AF136" s="1043">
        <f t="shared" si="100"/>
        <v>0</v>
      </c>
      <c r="AG136" s="1043">
        <f t="shared" si="101"/>
        <v>0</v>
      </c>
      <c r="AH136" s="1280">
        <f t="shared" si="102"/>
        <v>0</v>
      </c>
      <c r="AI136" s="1043">
        <f t="shared" si="103"/>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96"/>
        <v>0</v>
      </c>
      <c r="AA137" s="302">
        <f t="shared" si="97"/>
        <v>0</v>
      </c>
      <c r="AB137" s="1054">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1055">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334">
        <f t="shared" si="98"/>
        <v>0</v>
      </c>
      <c r="AE137" s="1043">
        <f t="shared" si="99"/>
        <v>0</v>
      </c>
      <c r="AF137" s="1043">
        <f t="shared" si="100"/>
        <v>0</v>
      </c>
      <c r="AG137" s="1043">
        <f t="shared" si="101"/>
        <v>0</v>
      </c>
      <c r="AH137" s="1280">
        <f t="shared" si="102"/>
        <v>0</v>
      </c>
      <c r="AI137" s="1043">
        <f t="shared" si="103"/>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96"/>
        <v>0</v>
      </c>
      <c r="AA138" s="316">
        <f t="shared" si="97"/>
        <v>0</v>
      </c>
      <c r="AB138" s="1054">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1055">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334">
        <f t="shared" si="98"/>
        <v>0</v>
      </c>
      <c r="AE138" s="1043">
        <f t="shared" si="99"/>
        <v>0</v>
      </c>
      <c r="AF138" s="1043">
        <f t="shared" si="100"/>
        <v>0</v>
      </c>
      <c r="AG138" s="1043">
        <f t="shared" si="101"/>
        <v>0</v>
      </c>
      <c r="AH138" s="1280">
        <f t="shared" si="102"/>
        <v>0</v>
      </c>
      <c r="AI138" s="1043">
        <f t="shared" si="103"/>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96"/>
        <v>0</v>
      </c>
      <c r="AA139" s="316">
        <f t="shared" si="97"/>
        <v>0</v>
      </c>
      <c r="AB139" s="1054">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1055">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334">
        <f t="shared" si="98"/>
        <v>0</v>
      </c>
      <c r="AE139" s="1043">
        <f t="shared" si="99"/>
        <v>0</v>
      </c>
      <c r="AF139" s="1043">
        <f t="shared" si="100"/>
        <v>0</v>
      </c>
      <c r="AG139" s="1043">
        <f t="shared" si="101"/>
        <v>0</v>
      </c>
      <c r="AH139" s="1280">
        <f t="shared" si="102"/>
        <v>0</v>
      </c>
      <c r="AI139" s="1043">
        <f t="shared" si="103"/>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96"/>
        <v>0</v>
      </c>
      <c r="AA140" s="316">
        <f t="shared" si="97"/>
        <v>0</v>
      </c>
      <c r="AB140" s="1054">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1055">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334">
        <f t="shared" si="98"/>
        <v>0</v>
      </c>
      <c r="AE140" s="1043">
        <f t="shared" si="99"/>
        <v>0</v>
      </c>
      <c r="AF140" s="1043">
        <f t="shared" si="100"/>
        <v>0</v>
      </c>
      <c r="AG140" s="1043">
        <f t="shared" si="101"/>
        <v>0</v>
      </c>
      <c r="AH140" s="1280">
        <f t="shared" si="102"/>
        <v>0</v>
      </c>
      <c r="AI140" s="1043">
        <f t="shared" si="103"/>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96"/>
        <v>0</v>
      </c>
      <c r="AA141" s="330">
        <f t="shared" si="97"/>
        <v>0</v>
      </c>
      <c r="AB141" s="1054">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1055">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334">
        <f t="shared" si="98"/>
        <v>0</v>
      </c>
      <c r="AE141" s="1043">
        <f t="shared" si="99"/>
        <v>0</v>
      </c>
      <c r="AF141" s="1043">
        <f t="shared" si="100"/>
        <v>0</v>
      </c>
      <c r="AG141" s="1043">
        <f t="shared" si="101"/>
        <v>0</v>
      </c>
      <c r="AH141" s="1280">
        <f t="shared" si="102"/>
        <v>0</v>
      </c>
      <c r="AI141" s="1043">
        <f t="shared" si="103"/>
        <v>0</v>
      </c>
      <c r="AJ141" s="245"/>
      <c r="AK141" s="245"/>
      <c r="AL141" s="245"/>
      <c r="AM141" s="245"/>
    </row>
    <row r="142" spans="1:39" x14ac:dyDescent="0.2">
      <c r="A142" s="347">
        <v>2021</v>
      </c>
      <c r="B142" s="360">
        <v>1.153955826293288E-2</v>
      </c>
      <c r="C142" s="361">
        <v>1.153955826293288E-2</v>
      </c>
      <c r="D142" s="361">
        <v>1.2410305037600758E-2</v>
      </c>
      <c r="E142" s="361">
        <v>1.4201861037045571E-2</v>
      </c>
      <c r="F142" s="361">
        <v>1.4707454835413735E-2</v>
      </c>
      <c r="G142" s="361">
        <v>1.4956965485819257E-2</v>
      </c>
      <c r="H142" s="361">
        <v>1.5135543056377621E-2</v>
      </c>
      <c r="I142" s="361">
        <v>1.6772755744078133E-2</v>
      </c>
      <c r="J142" s="361">
        <v>1.8667690408056981E-2</v>
      </c>
      <c r="K142" s="361">
        <v>2.0321104612797781E-2</v>
      </c>
      <c r="L142" s="397">
        <v>2.2064032407646914E-2</v>
      </c>
      <c r="M142" s="300">
        <f t="shared" si="94"/>
        <v>3.6667232809144985E-3</v>
      </c>
      <c r="N142" s="302">
        <f t="shared" si="95"/>
        <v>3.6080176385662084E-3</v>
      </c>
      <c r="O142" s="360">
        <v>1.153955826293288E-2</v>
      </c>
      <c r="P142" s="361">
        <v>1.153955826293288E-2</v>
      </c>
      <c r="Q142" s="361">
        <v>1.3009188885527349E-2</v>
      </c>
      <c r="R142" s="361">
        <v>1.4201861037045571E-2</v>
      </c>
      <c r="S142" s="361">
        <v>1.484102888822828E-2</v>
      </c>
      <c r="T142" s="361">
        <v>1.5055002624716563E-2</v>
      </c>
      <c r="U142" s="361">
        <v>1.5135543056377621E-2</v>
      </c>
      <c r="V142" s="361">
        <v>1.7405336050714641E-2</v>
      </c>
      <c r="W142" s="361">
        <v>1.9236631416968367E-2</v>
      </c>
      <c r="X142" s="361">
        <v>2.0321104612797781E-2</v>
      </c>
      <c r="Y142" s="397">
        <v>2.1678835069297579E-2</v>
      </c>
      <c r="Z142" s="300">
        <f t="shared" si="96"/>
        <v>1.2374883812685856E-2</v>
      </c>
      <c r="AA142" s="302">
        <f t="shared" si="97"/>
        <v>1.1783901156219559E-2</v>
      </c>
      <c r="AB142" s="1054">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1055">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334">
        <f t="shared" si="98"/>
        <v>0</v>
      </c>
      <c r="AE142" s="1043">
        <f t="shared" si="99"/>
        <v>3.6667232809144985E-3</v>
      </c>
      <c r="AF142" s="1043">
        <f t="shared" si="100"/>
        <v>1.2374883812685856E-2</v>
      </c>
      <c r="AG142" s="1043">
        <f t="shared" si="101"/>
        <v>1.6041607093600356E-2</v>
      </c>
      <c r="AH142" s="1280">
        <f t="shared" si="102"/>
        <v>0.22857580662085297</v>
      </c>
      <c r="AI142" s="1043">
        <f t="shared" si="103"/>
        <v>0.77142419337914692</v>
      </c>
      <c r="AJ142" s="245"/>
      <c r="AK142" s="245"/>
      <c r="AL142" s="245"/>
      <c r="AM142" s="245"/>
    </row>
    <row r="143" spans="1:39" x14ac:dyDescent="0.2">
      <c r="A143" s="348">
        <v>2022</v>
      </c>
      <c r="B143" s="362">
        <v>2.7132239746877389E-2</v>
      </c>
      <c r="C143" s="363">
        <v>2.7132239746877389E-2</v>
      </c>
      <c r="D143" s="363">
        <v>2.7589889562314868E-2</v>
      </c>
      <c r="E143" s="363">
        <v>3.2479998914072723E-2</v>
      </c>
      <c r="F143" s="363">
        <v>3.7182218536776508E-2</v>
      </c>
      <c r="G143" s="363">
        <v>4.4436754139358346E-2</v>
      </c>
      <c r="H143" s="363">
        <v>4.8941023629922829E-2</v>
      </c>
      <c r="I143" s="363">
        <v>5.3147754924019269E-2</v>
      </c>
      <c r="J143" s="363">
        <v>5.5359671990123288E-2</v>
      </c>
      <c r="K143" s="363">
        <v>5.7016082952423316E-2</v>
      </c>
      <c r="L143" s="398">
        <v>5.8305618059601182E-2</v>
      </c>
      <c r="M143" s="314">
        <f t="shared" si="94"/>
        <v>1.0699759626746701E-2</v>
      </c>
      <c r="N143" s="316">
        <f t="shared" si="95"/>
        <v>1.0249002169707176E-2</v>
      </c>
      <c r="O143" s="362">
        <v>2.7132239746877389E-2</v>
      </c>
      <c r="P143" s="363">
        <v>2.7132239746877389E-2</v>
      </c>
      <c r="Q143" s="363">
        <v>2.9046544722619565E-2</v>
      </c>
      <c r="R143" s="363">
        <v>3.2479998914072723E-2</v>
      </c>
      <c r="S143" s="363">
        <v>3.9136441872129106E-2</v>
      </c>
      <c r="T143" s="363">
        <v>4.7229607097164152E-2</v>
      </c>
      <c r="U143" s="363">
        <v>5.0545248537027139E-2</v>
      </c>
      <c r="V143" s="363">
        <v>5.4191853139111755E-2</v>
      </c>
      <c r="W143" s="363">
        <v>5.62346288314194E-2</v>
      </c>
      <c r="X143" s="363">
        <v>5.7105790028025058E-2</v>
      </c>
      <c r="Y143" s="398">
        <v>5.8334170308843587E-2</v>
      </c>
      <c r="Z143" s="314">
        <f t="shared" si="96"/>
        <v>3.7401200174749523E-2</v>
      </c>
      <c r="AA143" s="316">
        <f t="shared" si="97"/>
        <v>3.5014829314235989E-2</v>
      </c>
      <c r="AB143" s="1054">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1055">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334">
        <f t="shared" si="98"/>
        <v>0</v>
      </c>
      <c r="AE143" s="1043">
        <f>SUMPRODUCT($B$74:$L$74,B143:L143)</f>
        <v>1.0699759626746701E-2</v>
      </c>
      <c r="AF143" s="1043">
        <f>SUMPRODUCT($O$74:$Y$74,O143:Y143)</f>
        <v>3.7401200174749523E-2</v>
      </c>
      <c r="AG143" s="1043">
        <f>SUM(AE143:AF143)</f>
        <v>4.8100959801496222E-2</v>
      </c>
      <c r="AH143" s="1280">
        <f t="shared" si="102"/>
        <v>0.22244378637978604</v>
      </c>
      <c r="AI143" s="1043">
        <f t="shared" si="103"/>
        <v>0.77755621362021399</v>
      </c>
      <c r="AJ143" s="245"/>
      <c r="AK143" s="245"/>
      <c r="AL143" s="245"/>
      <c r="AM143" s="245"/>
    </row>
    <row r="144" spans="1:39" x14ac:dyDescent="0.2">
      <c r="A144" s="348">
        <v>2023</v>
      </c>
      <c r="B144" s="362">
        <v>5.387808325783993E-2</v>
      </c>
      <c r="C144" s="363">
        <v>5.387808325783993E-2</v>
      </c>
      <c r="D144" s="363">
        <v>5.38807846800207E-2</v>
      </c>
      <c r="E144" s="363">
        <v>7.6147580969600143E-2</v>
      </c>
      <c r="F144" s="363">
        <v>0.10008401491490586</v>
      </c>
      <c r="G144" s="363">
        <v>0.1136369079120486</v>
      </c>
      <c r="H144" s="363">
        <v>0.1206183181272418</v>
      </c>
      <c r="I144" s="363">
        <v>0.12534688861442167</v>
      </c>
      <c r="J144" s="363">
        <v>0.12845695704913765</v>
      </c>
      <c r="K144" s="363">
        <v>0.12855324628786721</v>
      </c>
      <c r="L144" s="398">
        <v>0.12324666054425515</v>
      </c>
      <c r="M144" s="314">
        <f t="shared" si="94"/>
        <v>2.5936516021053336E-2</v>
      </c>
      <c r="N144" s="316">
        <f t="shared" si="95"/>
        <v>2.4921354831641523E-2</v>
      </c>
      <c r="O144" s="362">
        <v>5.387808325783993E-2</v>
      </c>
      <c r="P144" s="363">
        <v>5.387808325783993E-2</v>
      </c>
      <c r="Q144" s="363">
        <v>5.7479914579255768E-2</v>
      </c>
      <c r="R144" s="363">
        <v>8.0597987292494191E-2</v>
      </c>
      <c r="S144" s="363">
        <v>0.10430188145226225</v>
      </c>
      <c r="T144" s="363">
        <v>0.11727343598689985</v>
      </c>
      <c r="U144" s="363">
        <v>0.12268990698572745</v>
      </c>
      <c r="V144" s="363">
        <v>0.12767469995362909</v>
      </c>
      <c r="W144" s="363">
        <v>0.12860679799285696</v>
      </c>
      <c r="X144" s="363">
        <v>0.12777463370844444</v>
      </c>
      <c r="Y144" s="398">
        <v>0.12414194015592105</v>
      </c>
      <c r="Z144" s="314">
        <f t="shared" si="96"/>
        <v>8.9989191357528336E-2</v>
      </c>
      <c r="AA144" s="316">
        <f t="shared" si="97"/>
        <v>8.4643041842186129E-2</v>
      </c>
      <c r="AB144" s="1054">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1055">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334">
        <f t="shared" si="98"/>
        <v>0</v>
      </c>
      <c r="AE144" s="1043">
        <f t="shared" ref="AE144:AE171" si="104">SUMPRODUCT($B$74:$L$74,B144:L144)</f>
        <v>2.5936516021053336E-2</v>
      </c>
      <c r="AF144" s="1043">
        <f t="shared" ref="AF144:AF171" si="105">SUMPRODUCT($O$74:$Y$74,O144:Y144)</f>
        <v>8.9989191357528336E-2</v>
      </c>
      <c r="AG144" s="1043">
        <f t="shared" ref="AG144:AG171" si="106">SUM(AE144:AF144)</f>
        <v>0.11592570737858167</v>
      </c>
      <c r="AH144" s="1280">
        <f t="shared" si="102"/>
        <v>0.22373394657279738</v>
      </c>
      <c r="AI144" s="1043">
        <f t="shared" si="103"/>
        <v>0.77626605342720267</v>
      </c>
      <c r="AJ144" s="245"/>
      <c r="AK144" s="245"/>
      <c r="AL144" s="245"/>
      <c r="AM144" s="245"/>
    </row>
    <row r="145" spans="1:39" x14ac:dyDescent="0.2">
      <c r="A145" s="348">
        <v>2024</v>
      </c>
      <c r="B145" s="362">
        <v>7.4927119930206357E-2</v>
      </c>
      <c r="C145" s="363">
        <v>7.4927119930206357E-2</v>
      </c>
      <c r="D145" s="363">
        <v>7.9572291766640116E-2</v>
      </c>
      <c r="E145" s="363">
        <v>0.15565011781264615</v>
      </c>
      <c r="F145" s="363">
        <v>0.19353589462667298</v>
      </c>
      <c r="G145" s="363">
        <v>0.21913946547391114</v>
      </c>
      <c r="H145" s="363">
        <v>0.22695405830373908</v>
      </c>
      <c r="I145" s="363">
        <v>0.23088008194995921</v>
      </c>
      <c r="J145" s="363">
        <v>0.22739509241488273</v>
      </c>
      <c r="K145" s="363">
        <v>0.22156658876185914</v>
      </c>
      <c r="L145" s="398">
        <v>0.20614512822676034</v>
      </c>
      <c r="M145" s="314">
        <f t="shared" si="94"/>
        <v>4.8360098058917805E-2</v>
      </c>
      <c r="N145" s="316">
        <f t="shared" si="95"/>
        <v>4.660137244282548E-2</v>
      </c>
      <c r="O145" s="362">
        <v>7.4927119930206357E-2</v>
      </c>
      <c r="P145" s="363">
        <v>7.4927119930206357E-2</v>
      </c>
      <c r="Q145" s="363">
        <v>0.10515139583993639</v>
      </c>
      <c r="R145" s="363">
        <v>0.16400076124377602</v>
      </c>
      <c r="S145" s="363">
        <v>0.20118228257834528</v>
      </c>
      <c r="T145" s="363">
        <v>0.22107486240319288</v>
      </c>
      <c r="U145" s="363">
        <v>0.2279408345513371</v>
      </c>
      <c r="V145" s="363">
        <v>0.22880344818504067</v>
      </c>
      <c r="W145" s="363">
        <v>0.22417710571997523</v>
      </c>
      <c r="X145" s="363">
        <v>0.2174033429635317</v>
      </c>
      <c r="Y145" s="398">
        <v>0.20862560118305312</v>
      </c>
      <c r="Z145" s="314">
        <f t="shared" si="96"/>
        <v>0.16564883641550709</v>
      </c>
      <c r="AA145" s="316">
        <f t="shared" si="97"/>
        <v>0.15656602637516243</v>
      </c>
      <c r="AB145" s="1054">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1055">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334">
        <f t="shared" si="98"/>
        <v>0</v>
      </c>
      <c r="AE145" s="1043">
        <f t="shared" si="104"/>
        <v>4.8360098058917805E-2</v>
      </c>
      <c r="AF145" s="1043">
        <f t="shared" si="105"/>
        <v>0.16564883641550709</v>
      </c>
      <c r="AG145" s="1043">
        <f t="shared" si="106"/>
        <v>0.2140089344744249</v>
      </c>
      <c r="AH145" s="1280">
        <f t="shared" si="102"/>
        <v>0.2259723323125889</v>
      </c>
      <c r="AI145" s="1043">
        <f t="shared" si="103"/>
        <v>0.77402766768741116</v>
      </c>
      <c r="AJ145" s="245"/>
      <c r="AK145" s="245"/>
      <c r="AL145" s="245"/>
      <c r="AM145" s="245"/>
    </row>
    <row r="146" spans="1:39" ht="13.5" thickBot="1" x14ac:dyDescent="0.25">
      <c r="A146" s="346">
        <v>2025</v>
      </c>
      <c r="B146" s="364">
        <v>4.4719419242083225E-2</v>
      </c>
      <c r="C146" s="365">
        <v>4.4719419242083225E-2</v>
      </c>
      <c r="D146" s="365">
        <v>0.13206366611583095</v>
      </c>
      <c r="E146" s="365">
        <v>0.24222307128156453</v>
      </c>
      <c r="F146" s="365">
        <v>0.2950651114007572</v>
      </c>
      <c r="G146" s="365">
        <v>0.31625583589542555</v>
      </c>
      <c r="H146" s="365">
        <v>0.319785328830203</v>
      </c>
      <c r="I146" s="365">
        <v>0.31945826211046302</v>
      </c>
      <c r="J146" s="365">
        <v>0.30976494137884064</v>
      </c>
      <c r="K146" s="365">
        <v>0.30288573425483123</v>
      </c>
      <c r="L146" s="399">
        <v>0.27943326076319391</v>
      </c>
      <c r="M146" s="328">
        <f t="shared" si="94"/>
        <v>6.8972940346763476E-2</v>
      </c>
      <c r="N146" s="330">
        <f t="shared" si="95"/>
        <v>6.6600616936694432E-2</v>
      </c>
      <c r="O146" s="364">
        <v>4.4719419242083225E-2</v>
      </c>
      <c r="P146" s="365">
        <v>4.4719419242083225E-2</v>
      </c>
      <c r="Q146" s="365">
        <v>0.16385074951221756</v>
      </c>
      <c r="R146" s="365">
        <v>0.24907736023951554</v>
      </c>
      <c r="S146" s="365">
        <v>0.30504256036025651</v>
      </c>
      <c r="T146" s="365">
        <v>0.31661904608532632</v>
      </c>
      <c r="U146" s="365">
        <v>0.32206077466628391</v>
      </c>
      <c r="V146" s="365">
        <v>0.31738335981455656</v>
      </c>
      <c r="W146" s="365">
        <v>0.30635290794814302</v>
      </c>
      <c r="X146" s="365">
        <v>0.29926804447154182</v>
      </c>
      <c r="Y146" s="399">
        <v>0.28299614712186899</v>
      </c>
      <c r="Z146" s="328">
        <f t="shared" si="96"/>
        <v>0.23518411034356465</v>
      </c>
      <c r="AA146" s="330">
        <f t="shared" si="97"/>
        <v>0.22218645779112559</v>
      </c>
      <c r="AB146" s="1054">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1055">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334">
        <f t="shared" si="98"/>
        <v>0</v>
      </c>
      <c r="AE146" s="1043">
        <f t="shared" si="104"/>
        <v>6.8972940346763476E-2</v>
      </c>
      <c r="AF146" s="1043">
        <f t="shared" si="105"/>
        <v>0.23518411034356465</v>
      </c>
      <c r="AG146" s="1043">
        <f t="shared" si="106"/>
        <v>0.30415705069032811</v>
      </c>
      <c r="AH146" s="1280">
        <f t="shared" si="102"/>
        <v>0.22676752089165608</v>
      </c>
      <c r="AI146" s="1043">
        <f t="shared" si="103"/>
        <v>0.77323247910834392</v>
      </c>
      <c r="AJ146" s="245"/>
      <c r="AK146" s="245"/>
      <c r="AL146" s="245"/>
      <c r="AM146" s="245"/>
    </row>
    <row r="147" spans="1:39" x14ac:dyDescent="0.2">
      <c r="A147" s="347">
        <v>2026</v>
      </c>
      <c r="B147" s="360">
        <v>5.387867309847328E-2</v>
      </c>
      <c r="C147" s="361">
        <v>5.387867309847328E-2</v>
      </c>
      <c r="D147" s="361">
        <v>0.20541556399695299</v>
      </c>
      <c r="E147" s="361">
        <v>0.32845420817063753</v>
      </c>
      <c r="F147" s="361">
        <v>0.36910229616523921</v>
      </c>
      <c r="G147" s="361">
        <v>0.37858783735267759</v>
      </c>
      <c r="H147" s="361">
        <v>0.37827744256205592</v>
      </c>
      <c r="I147" s="361">
        <v>0.36901916212882624</v>
      </c>
      <c r="J147" s="361">
        <v>0.35164571303809133</v>
      </c>
      <c r="K147" s="361">
        <v>0.34016688393791189</v>
      </c>
      <c r="L147" s="397">
        <v>0.32115138097957946</v>
      </c>
      <c r="M147" s="300">
        <f t="shared" si="94"/>
        <v>8.2709738644457922E-2</v>
      </c>
      <c r="N147" s="302">
        <f t="shared" si="95"/>
        <v>8.1065440130588723E-2</v>
      </c>
      <c r="O147" s="360">
        <v>5.387867309847328E-2</v>
      </c>
      <c r="P147" s="361">
        <v>5.3882298733276185E-2</v>
      </c>
      <c r="Q147" s="361">
        <v>0.24151100221124372</v>
      </c>
      <c r="R147" s="361">
        <v>0.32806751099417175</v>
      </c>
      <c r="S147" s="361">
        <v>0.37129952149774631</v>
      </c>
      <c r="T147" s="361">
        <v>0.37872454840958464</v>
      </c>
      <c r="U147" s="361">
        <v>0.37087439839459507</v>
      </c>
      <c r="V147" s="361">
        <v>0.36052111206940407</v>
      </c>
      <c r="W147" s="361">
        <v>0.35164571303809133</v>
      </c>
      <c r="X147" s="361">
        <v>0.34084923620708252</v>
      </c>
      <c r="Y147" s="397">
        <v>0.3249625157161436</v>
      </c>
      <c r="Z147" s="300">
        <f t="shared" si="96"/>
        <v>0.27653311628693678</v>
      </c>
      <c r="AA147" s="302">
        <f t="shared" si="97"/>
        <v>0.26389413171928822</v>
      </c>
      <c r="AB147" s="1054">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1055">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334">
        <f t="shared" si="98"/>
        <v>0</v>
      </c>
      <c r="AE147" s="1043">
        <f t="shared" si="104"/>
        <v>8.2709738644457922E-2</v>
      </c>
      <c r="AF147" s="1043">
        <f t="shared" si="105"/>
        <v>0.27653311628693678</v>
      </c>
      <c r="AG147" s="1043">
        <f t="shared" si="106"/>
        <v>0.35924285493139468</v>
      </c>
      <c r="AH147" s="1280">
        <f t="shared" si="102"/>
        <v>0.23023349666969206</v>
      </c>
      <c r="AI147" s="1043">
        <f t="shared" si="103"/>
        <v>0.76976650333030794</v>
      </c>
      <c r="AJ147" s="245"/>
      <c r="AK147" s="245"/>
      <c r="AL147" s="245"/>
      <c r="AM147" s="245"/>
    </row>
    <row r="148" spans="1:39" x14ac:dyDescent="0.2">
      <c r="A148" s="348">
        <v>2027</v>
      </c>
      <c r="B148" s="362">
        <v>5.6619117773254485E-2</v>
      </c>
      <c r="C148" s="363">
        <v>5.6623895011254054E-2</v>
      </c>
      <c r="D148" s="363">
        <v>0.26799563266674481</v>
      </c>
      <c r="E148" s="363">
        <v>0.37433953367018258</v>
      </c>
      <c r="F148" s="363">
        <v>0.40063298142567372</v>
      </c>
      <c r="G148" s="363">
        <v>0.40148727863644584</v>
      </c>
      <c r="H148" s="363">
        <v>0.38803311136743884</v>
      </c>
      <c r="I148" s="363">
        <v>0.37357813670052692</v>
      </c>
      <c r="J148" s="363">
        <v>0.36312595914627288</v>
      </c>
      <c r="K148" s="363">
        <v>0.35487756846267088</v>
      </c>
      <c r="L148" s="398">
        <v>0.33603859574218636</v>
      </c>
      <c r="M148" s="314">
        <f t="shared" si="94"/>
        <v>8.6943009241695124E-2</v>
      </c>
      <c r="N148" s="316">
        <f t="shared" si="95"/>
        <v>8.6147474015217176E-2</v>
      </c>
      <c r="O148" s="362">
        <v>5.6619117773254485E-2</v>
      </c>
      <c r="P148" s="363">
        <v>6.440084647054671E-2</v>
      </c>
      <c r="Q148" s="363">
        <v>0.30848091009957684</v>
      </c>
      <c r="R148" s="363">
        <v>0.37867727712189381</v>
      </c>
      <c r="S148" s="363">
        <v>0.40172440952120886</v>
      </c>
      <c r="T148" s="363">
        <v>0.39330427035487131</v>
      </c>
      <c r="U148" s="363">
        <v>0.38233947878480828</v>
      </c>
      <c r="V148" s="363">
        <v>0.37065152766421527</v>
      </c>
      <c r="W148" s="363">
        <v>0.35857774785939328</v>
      </c>
      <c r="X148" s="363">
        <v>0.35131637831931195</v>
      </c>
      <c r="Y148" s="398">
        <v>0.33953214391301395</v>
      </c>
      <c r="Z148" s="314">
        <f t="shared" si="96"/>
        <v>0.2894462630006715</v>
      </c>
      <c r="AA148" s="316">
        <f t="shared" si="97"/>
        <v>0.27860571914884558</v>
      </c>
      <c r="AB148" s="1054">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1055">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334">
        <f t="shared" si="98"/>
        <v>0</v>
      </c>
      <c r="AE148" s="1043">
        <f t="shared" si="104"/>
        <v>8.6943009241695124E-2</v>
      </c>
      <c r="AF148" s="1043">
        <f t="shared" si="105"/>
        <v>0.2894462630006715</v>
      </c>
      <c r="AG148" s="1043">
        <f t="shared" si="106"/>
        <v>0.37638927224236662</v>
      </c>
      <c r="AH148" s="1280">
        <f t="shared" si="102"/>
        <v>0.23099226161183017</v>
      </c>
      <c r="AI148" s="1043">
        <f t="shared" si="103"/>
        <v>0.76900773838816983</v>
      </c>
      <c r="AJ148" s="245"/>
      <c r="AK148" s="245"/>
      <c r="AL148" s="245"/>
      <c r="AM148" s="245"/>
    </row>
    <row r="149" spans="1:39" x14ac:dyDescent="0.2">
      <c r="A149" s="348">
        <v>2028</v>
      </c>
      <c r="B149" s="362">
        <v>5.6114533395509494E-2</v>
      </c>
      <c r="C149" s="363">
        <v>6.8547039146621747E-2</v>
      </c>
      <c r="D149" s="363">
        <v>0.31022314689051311</v>
      </c>
      <c r="E149" s="363">
        <v>0.39710152935150972</v>
      </c>
      <c r="F149" s="363">
        <v>0.41185121650440032</v>
      </c>
      <c r="G149" s="363">
        <v>0.39993634625454005</v>
      </c>
      <c r="H149" s="363">
        <v>0.38708792266211106</v>
      </c>
      <c r="I149" s="363">
        <v>0.37235291993779396</v>
      </c>
      <c r="J149" s="363">
        <v>0.36129891593773267</v>
      </c>
      <c r="K149" s="363">
        <v>0.35373426269033442</v>
      </c>
      <c r="L149" s="398">
        <v>0.33988295395282953</v>
      </c>
      <c r="M149" s="314">
        <f t="shared" si="94"/>
        <v>8.7843511452158851E-2</v>
      </c>
      <c r="N149" s="316">
        <f t="shared" si="95"/>
        <v>8.765275843793649E-2</v>
      </c>
      <c r="O149" s="362">
        <v>5.6114533395509494E-2</v>
      </c>
      <c r="P149" s="363">
        <v>8.4197789661063935E-2</v>
      </c>
      <c r="Q149" s="363">
        <v>0.34161720567640108</v>
      </c>
      <c r="R149" s="363">
        <v>0.40097548792941562</v>
      </c>
      <c r="S149" s="363">
        <v>0.40409118604739297</v>
      </c>
      <c r="T149" s="363">
        <v>0.39033882579823614</v>
      </c>
      <c r="U149" s="363">
        <v>0.3772829517366037</v>
      </c>
      <c r="V149" s="363">
        <v>0.36953835315312711</v>
      </c>
      <c r="W149" s="363">
        <v>0.35704878085844077</v>
      </c>
      <c r="X149" s="363">
        <v>0.34989229606900629</v>
      </c>
      <c r="Y149" s="398">
        <v>0.34294561388223233</v>
      </c>
      <c r="Z149" s="314">
        <f t="shared" si="96"/>
        <v>0.28920318103133841</v>
      </c>
      <c r="AA149" s="316">
        <f t="shared" si="97"/>
        <v>0.2797799019089236</v>
      </c>
      <c r="AB149" s="1054">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1055">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334">
        <f t="shared" si="98"/>
        <v>0</v>
      </c>
      <c r="AE149" s="1043">
        <f t="shared" si="104"/>
        <v>8.7843511452158851E-2</v>
      </c>
      <c r="AF149" s="1043">
        <f t="shared" si="105"/>
        <v>0.28920318103133841</v>
      </c>
      <c r="AG149" s="1043">
        <f t="shared" si="106"/>
        <v>0.37704669248349726</v>
      </c>
      <c r="AH149" s="1280">
        <f t="shared" si="102"/>
        <v>0.23297780673677074</v>
      </c>
      <c r="AI149" s="1043">
        <f t="shared" si="103"/>
        <v>0.76702219326322929</v>
      </c>
      <c r="AJ149" s="245"/>
      <c r="AK149" s="245"/>
      <c r="AL149" s="245"/>
      <c r="AM149" s="245"/>
    </row>
    <row r="150" spans="1:39" x14ac:dyDescent="0.2">
      <c r="A150" s="348">
        <v>2029</v>
      </c>
      <c r="B150" s="362">
        <v>5.3737526604108646E-2</v>
      </c>
      <c r="C150" s="363">
        <v>0.10102643091259966</v>
      </c>
      <c r="D150" s="363">
        <v>0.34408253360373003</v>
      </c>
      <c r="E150" s="363">
        <v>0.40337040395600399</v>
      </c>
      <c r="F150" s="363">
        <v>0.40087196512075474</v>
      </c>
      <c r="G150" s="363">
        <v>0.38361666839990322</v>
      </c>
      <c r="H150" s="363">
        <v>0.37463507278895214</v>
      </c>
      <c r="I150" s="363">
        <v>0.36027859586942063</v>
      </c>
      <c r="J150" s="363">
        <v>0.35378640891690299</v>
      </c>
      <c r="K150" s="363">
        <v>0.34675662904483334</v>
      </c>
      <c r="L150" s="398">
        <v>0.33839637639004427</v>
      </c>
      <c r="M150" s="314">
        <f t="shared" si="94"/>
        <v>8.5820147893198209E-2</v>
      </c>
      <c r="N150" s="316">
        <f t="shared" si="95"/>
        <v>8.611251309041329E-2</v>
      </c>
      <c r="O150" s="362">
        <v>5.3737526604108646E-2</v>
      </c>
      <c r="P150" s="363">
        <v>0.1209171336758128</v>
      </c>
      <c r="Q150" s="363">
        <v>0.37133932766343236</v>
      </c>
      <c r="R150" s="363">
        <v>0.40318173498190096</v>
      </c>
      <c r="S150" s="363">
        <v>0.3959014931085848</v>
      </c>
      <c r="T150" s="363">
        <v>0.38151319961399005</v>
      </c>
      <c r="U150" s="363">
        <v>0.37178076680421934</v>
      </c>
      <c r="V150" s="363">
        <v>0.36102927099819959</v>
      </c>
      <c r="W150" s="363">
        <v>0.35378640891690299</v>
      </c>
      <c r="X150" s="363">
        <v>0.34675662904483334</v>
      </c>
      <c r="Y150" s="398">
        <v>0.34086346127108996</v>
      </c>
      <c r="Z150" s="314">
        <f t="shared" si="96"/>
        <v>0.28513670385904599</v>
      </c>
      <c r="AA150" s="316">
        <f t="shared" si="97"/>
        <v>0.27705422176236721</v>
      </c>
      <c r="AB150" s="1054">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1055">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334">
        <f t="shared" si="98"/>
        <v>0</v>
      </c>
      <c r="AE150" s="1043">
        <f t="shared" si="104"/>
        <v>8.5820147893198209E-2</v>
      </c>
      <c r="AF150" s="1043">
        <f t="shared" si="105"/>
        <v>0.28513670385904599</v>
      </c>
      <c r="AG150" s="1043">
        <f t="shared" si="106"/>
        <v>0.37095685175224419</v>
      </c>
      <c r="AH150" s="1280">
        <f t="shared" si="102"/>
        <v>0.23134805972128542</v>
      </c>
      <c r="AI150" s="1043">
        <f t="shared" si="103"/>
        <v>0.76865194027871464</v>
      </c>
      <c r="AJ150" s="245"/>
      <c r="AK150" s="245"/>
      <c r="AL150" s="245"/>
      <c r="AM150" s="245"/>
    </row>
    <row r="151" spans="1:39" ht="13.5" thickBot="1" x14ac:dyDescent="0.25">
      <c r="A151" s="346">
        <v>2030</v>
      </c>
      <c r="B151" s="364">
        <v>4.9964642267292997E-2</v>
      </c>
      <c r="C151" s="365">
        <v>0.12728517220141911</v>
      </c>
      <c r="D151" s="365">
        <v>0.36401102079859088</v>
      </c>
      <c r="E151" s="365">
        <v>0.39916509485047708</v>
      </c>
      <c r="F151" s="365">
        <v>0.38765236588766555</v>
      </c>
      <c r="G151" s="365">
        <v>0.37611581148438628</v>
      </c>
      <c r="H151" s="365">
        <v>0.36600622424003454</v>
      </c>
      <c r="I151" s="365">
        <v>0.35516460496898988</v>
      </c>
      <c r="J151" s="365">
        <v>0.34810192329420786</v>
      </c>
      <c r="K151" s="365">
        <v>0.34498826734826743</v>
      </c>
      <c r="L151" s="399">
        <v>0.33757561393592128</v>
      </c>
      <c r="M151" s="328">
        <f t="shared" si="94"/>
        <v>8.4270805018491851E-2</v>
      </c>
      <c r="N151" s="330">
        <f t="shared" si="95"/>
        <v>8.4704838857489542E-2</v>
      </c>
      <c r="O151" s="364">
        <v>4.9964642267292997E-2</v>
      </c>
      <c r="P151" s="365">
        <v>0.15614235300312754</v>
      </c>
      <c r="Q151" s="365">
        <v>0.37789504914159028</v>
      </c>
      <c r="R151" s="365">
        <v>0.39659674333902939</v>
      </c>
      <c r="S151" s="365">
        <v>0.38141426846307802</v>
      </c>
      <c r="T151" s="365">
        <v>0.37136321175749082</v>
      </c>
      <c r="U151" s="365">
        <v>0.36168834106610537</v>
      </c>
      <c r="V151" s="365">
        <v>0.35150110466216905</v>
      </c>
      <c r="W151" s="365">
        <v>0.34810192329420786</v>
      </c>
      <c r="X151" s="365">
        <v>0.34218134594843846</v>
      </c>
      <c r="Y151" s="399">
        <v>0.33757561393592128</v>
      </c>
      <c r="Z151" s="328">
        <f t="shared" si="96"/>
        <v>0.27831983353569073</v>
      </c>
      <c r="AA151" s="330">
        <f t="shared" si="97"/>
        <v>0.271110272321201</v>
      </c>
      <c r="AB151" s="1054">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1055">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334">
        <f t="shared" si="98"/>
        <v>0</v>
      </c>
      <c r="AE151" s="1043">
        <f t="shared" si="104"/>
        <v>8.4270805018491851E-2</v>
      </c>
      <c r="AF151" s="1043">
        <f t="shared" si="105"/>
        <v>0.27831983353569073</v>
      </c>
      <c r="AG151" s="1043">
        <f t="shared" si="106"/>
        <v>0.36259063855418261</v>
      </c>
      <c r="AH151" s="1280">
        <f t="shared" si="102"/>
        <v>0.23241307429921168</v>
      </c>
      <c r="AI151" s="1043">
        <f t="shared" si="103"/>
        <v>0.76758692570078824</v>
      </c>
      <c r="AJ151" s="245"/>
      <c r="AK151" s="245"/>
      <c r="AL151" s="245"/>
      <c r="AM151" s="245"/>
    </row>
    <row r="152" spans="1:39" x14ac:dyDescent="0.2">
      <c r="A152" s="347">
        <v>2031</v>
      </c>
      <c r="B152" s="360">
        <v>5.0042859052394743E-2</v>
      </c>
      <c r="C152" s="361">
        <v>0.13257293092366729</v>
      </c>
      <c r="D152" s="361">
        <v>0.36829136159136439</v>
      </c>
      <c r="E152" s="361">
        <v>0.39138989828043763</v>
      </c>
      <c r="F152" s="361">
        <v>0.38344266241011193</v>
      </c>
      <c r="G152" s="361">
        <v>0.37212592237999997</v>
      </c>
      <c r="H152" s="361">
        <v>0.36244962775044515</v>
      </c>
      <c r="I152" s="361">
        <v>0.35592311608842647</v>
      </c>
      <c r="J152" s="361">
        <v>0.3488551861064989</v>
      </c>
      <c r="K152" s="361">
        <v>0.34292990206947677</v>
      </c>
      <c r="L152" s="397">
        <v>0.33832031493562215</v>
      </c>
      <c r="M152" s="300">
        <f t="shared" si="94"/>
        <v>8.364945770857897E-2</v>
      </c>
      <c r="N152" s="302">
        <f t="shared" si="95"/>
        <v>8.401489765014844E-2</v>
      </c>
      <c r="O152" s="360">
        <v>5.0042859052394743E-2</v>
      </c>
      <c r="P152" s="361">
        <v>0.15638678491169178</v>
      </c>
      <c r="Q152" s="361">
        <v>0.3740865922784537</v>
      </c>
      <c r="R152" s="361">
        <v>0.39285314723762582</v>
      </c>
      <c r="S152" s="361">
        <v>0.37722561818583672</v>
      </c>
      <c r="T152" s="361">
        <v>0.36749788957060664</v>
      </c>
      <c r="U152" s="361">
        <v>0.3583271406819914</v>
      </c>
      <c r="V152" s="361">
        <v>0.35225694316684064</v>
      </c>
      <c r="W152" s="361">
        <v>0.34573908980884743</v>
      </c>
      <c r="X152" s="361">
        <v>0.34292990206947677</v>
      </c>
      <c r="Y152" s="397">
        <v>0.33832031493562215</v>
      </c>
      <c r="Z152" s="300">
        <f t="shared" si="96"/>
        <v>0.27635487617624432</v>
      </c>
      <c r="AA152" s="302">
        <f t="shared" si="97"/>
        <v>0.26898039685764985</v>
      </c>
      <c r="AB152" s="1054">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1055">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334">
        <f t="shared" si="98"/>
        <v>0</v>
      </c>
      <c r="AE152" s="1043">
        <f t="shared" si="104"/>
        <v>8.364945770857897E-2</v>
      </c>
      <c r="AF152" s="1043">
        <f t="shared" si="105"/>
        <v>0.27635487617624432</v>
      </c>
      <c r="AG152" s="1043">
        <f t="shared" si="106"/>
        <v>0.36000433388482328</v>
      </c>
      <c r="AH152" s="1280">
        <f t="shared" si="102"/>
        <v>0.23235680750260373</v>
      </c>
      <c r="AI152" s="1043">
        <f t="shared" si="103"/>
        <v>0.76764319249739632</v>
      </c>
      <c r="AJ152" s="245"/>
      <c r="AK152" s="245"/>
      <c r="AL152" s="245"/>
      <c r="AM152" s="245"/>
    </row>
    <row r="153" spans="1:39" x14ac:dyDescent="0.2">
      <c r="A153" s="348">
        <v>2032</v>
      </c>
      <c r="B153" s="362">
        <v>5.0071695050664181E-2</v>
      </c>
      <c r="C153" s="363">
        <v>0.13885948244970123</v>
      </c>
      <c r="D153" s="363">
        <v>0.36509654008321801</v>
      </c>
      <c r="E153" s="363">
        <v>0.38727874638557336</v>
      </c>
      <c r="F153" s="363">
        <v>0.37887156655792775</v>
      </c>
      <c r="G153" s="363">
        <v>0.36790760030927744</v>
      </c>
      <c r="H153" s="363">
        <v>0.36286614858836341</v>
      </c>
      <c r="I153" s="363">
        <v>0.35267878782477097</v>
      </c>
      <c r="J153" s="363">
        <v>0.34616270478847788</v>
      </c>
      <c r="K153" s="363">
        <v>0.34335416887947212</v>
      </c>
      <c r="L153" s="398">
        <v>0.33699376993803537</v>
      </c>
      <c r="M153" s="314">
        <f t="shared" si="94"/>
        <v>8.3166474565928059E-2</v>
      </c>
      <c r="N153" s="316">
        <f t="shared" si="95"/>
        <v>8.3491575621461478E-2</v>
      </c>
      <c r="O153" s="362">
        <v>5.0071695050664181E-2</v>
      </c>
      <c r="P153" s="363">
        <v>0.16335511288118854</v>
      </c>
      <c r="Q153" s="363">
        <v>0.3770094963846099</v>
      </c>
      <c r="R153" s="363">
        <v>0.38392963805986868</v>
      </c>
      <c r="S153" s="363">
        <v>0.37273026314203361</v>
      </c>
      <c r="T153" s="363">
        <v>0.36343282927878551</v>
      </c>
      <c r="U153" s="363">
        <v>0.35874522107302753</v>
      </c>
      <c r="V153" s="363">
        <v>0.34927799969666651</v>
      </c>
      <c r="W153" s="363">
        <v>0.34616270478847788</v>
      </c>
      <c r="X153" s="363">
        <v>0.34087412249530458</v>
      </c>
      <c r="Y153" s="398">
        <v>0.33874550621849159</v>
      </c>
      <c r="Z153" s="314">
        <f t="shared" si="96"/>
        <v>0.27476975000799547</v>
      </c>
      <c r="AA153" s="316">
        <f t="shared" si="97"/>
        <v>0.26733351028244179</v>
      </c>
      <c r="AB153" s="1054">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1055">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334">
        <f t="shared" si="98"/>
        <v>0</v>
      </c>
      <c r="AE153" s="1043">
        <f t="shared" si="104"/>
        <v>8.3166474565928059E-2</v>
      </c>
      <c r="AF153" s="1043">
        <f t="shared" si="105"/>
        <v>0.27476975000799547</v>
      </c>
      <c r="AG153" s="1043">
        <f t="shared" si="106"/>
        <v>0.35793622457392354</v>
      </c>
      <c r="AH153" s="1280">
        <f t="shared" si="102"/>
        <v>0.23234997984606592</v>
      </c>
      <c r="AI153" s="1043">
        <f t="shared" si="103"/>
        <v>0.76765002015393402</v>
      </c>
      <c r="AJ153" s="245"/>
      <c r="AK153" s="245"/>
      <c r="AL153" s="245"/>
      <c r="AM153" s="245"/>
    </row>
    <row r="154" spans="1:39" x14ac:dyDescent="0.2">
      <c r="A154" s="348">
        <v>2033</v>
      </c>
      <c r="B154" s="362">
        <v>5.0082311584808518E-2</v>
      </c>
      <c r="C154" s="363">
        <v>0.13888892436164768</v>
      </c>
      <c r="D154" s="363">
        <v>0.36326056453620403</v>
      </c>
      <c r="E154" s="363">
        <v>0.38292759003352439</v>
      </c>
      <c r="F154" s="363">
        <v>0.37421098937961572</v>
      </c>
      <c r="G154" s="363">
        <v>0.36819543499119961</v>
      </c>
      <c r="H154" s="363">
        <v>0.3590456105386855</v>
      </c>
      <c r="I154" s="363">
        <v>0.35298560446116267</v>
      </c>
      <c r="J154" s="363">
        <v>0.34647401211234047</v>
      </c>
      <c r="K154" s="363">
        <v>0.3411887937946681</v>
      </c>
      <c r="L154" s="398">
        <v>0.33731074944905659</v>
      </c>
      <c r="M154" s="314">
        <f t="shared" si="94"/>
        <v>8.2634117645269775E-2</v>
      </c>
      <c r="N154" s="316">
        <f t="shared" si="95"/>
        <v>8.2888145655040227E-2</v>
      </c>
      <c r="O154" s="362">
        <v>5.0082311584808518E-2</v>
      </c>
      <c r="P154" s="363">
        <v>0.16936081541344297</v>
      </c>
      <c r="Q154" s="363">
        <v>0.37430049977542035</v>
      </c>
      <c r="R154" s="363">
        <v>0.38415256433708644</v>
      </c>
      <c r="S154" s="363">
        <v>0.37670699450610268</v>
      </c>
      <c r="T154" s="363">
        <v>0.36372457064811903</v>
      </c>
      <c r="U154" s="363">
        <v>0.35514812420807024</v>
      </c>
      <c r="V154" s="363">
        <v>0.34958720769629303</v>
      </c>
      <c r="W154" s="363">
        <v>0.3436672939895003</v>
      </c>
      <c r="X154" s="363">
        <v>0.3411887937946681</v>
      </c>
      <c r="Y154" s="398">
        <v>0.33731074944905659</v>
      </c>
      <c r="Z154" s="314">
        <f t="shared" si="96"/>
        <v>0.27420167523607636</v>
      </c>
      <c r="AA154" s="316">
        <f t="shared" si="97"/>
        <v>0.26706027280671002</v>
      </c>
      <c r="AB154" s="1054">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1055">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334">
        <f>AB154*AH154+AC154*AI154</f>
        <v>0</v>
      </c>
      <c r="AE154" s="1043">
        <f t="shared" si="104"/>
        <v>8.2634117645269775E-2</v>
      </c>
      <c r="AF154" s="1043">
        <f t="shared" si="105"/>
        <v>0.27420167523607636</v>
      </c>
      <c r="AG154" s="1043">
        <f t="shared" si="106"/>
        <v>0.35683579288134615</v>
      </c>
      <c r="AH154" s="1280">
        <f t="shared" si="102"/>
        <v>0.23157463262870326</v>
      </c>
      <c r="AI154" s="1043">
        <f t="shared" si="103"/>
        <v>0.76842536737129674</v>
      </c>
      <c r="AJ154" s="245"/>
      <c r="AK154" s="245"/>
      <c r="AL154" s="245"/>
      <c r="AM154" s="245"/>
    </row>
    <row r="155" spans="1:39" x14ac:dyDescent="0.2">
      <c r="A155" s="348">
        <v>2034</v>
      </c>
      <c r="B155" s="362">
        <v>5.0086218322275514E-2</v>
      </c>
      <c r="C155" s="363">
        <v>0.14428954924035223</v>
      </c>
      <c r="D155" s="363">
        <v>0.36122018500921421</v>
      </c>
      <c r="E155" s="363">
        <v>0.3843319584348367</v>
      </c>
      <c r="F155" s="363">
        <v>0.37443522937400098</v>
      </c>
      <c r="G155" s="363">
        <v>0.36397972208016832</v>
      </c>
      <c r="H155" s="363">
        <v>0.35931059902348234</v>
      </c>
      <c r="I155" s="363">
        <v>0.34986291938511527</v>
      </c>
      <c r="J155" s="363">
        <v>0.34675240402528668</v>
      </c>
      <c r="K155" s="363">
        <v>0.34147152488717325</v>
      </c>
      <c r="L155" s="398">
        <v>0.33759649550328469</v>
      </c>
      <c r="M155" s="314">
        <f t="shared" si="94"/>
        <v>8.2480633526375843E-2</v>
      </c>
      <c r="N155" s="316">
        <f t="shared" si="95"/>
        <v>8.2776195501483255E-2</v>
      </c>
      <c r="O155" s="362">
        <v>5.0086218322275514E-2</v>
      </c>
      <c r="P155" s="363">
        <v>0.16937402662958054</v>
      </c>
      <c r="Q155" s="363">
        <v>0.37857713282553662</v>
      </c>
      <c r="R155" s="363">
        <v>0.37957969127281171</v>
      </c>
      <c r="S155" s="363">
        <v>0.37212244728707577</v>
      </c>
      <c r="T155" s="363">
        <v>0.35968758862741351</v>
      </c>
      <c r="U155" s="363">
        <v>0.3554168474633993</v>
      </c>
      <c r="V155" s="363">
        <v>0.34986291938511527</v>
      </c>
      <c r="W155" s="363">
        <v>0.34394802329377694</v>
      </c>
      <c r="X155" s="363">
        <v>0.34147152488717325</v>
      </c>
      <c r="Y155" s="398">
        <v>0.33759649550328469</v>
      </c>
      <c r="Z155" s="314">
        <f t="shared" si="96"/>
        <v>0.27309544037047589</v>
      </c>
      <c r="AA155" s="316">
        <f t="shared" si="97"/>
        <v>0.26578057374915098</v>
      </c>
      <c r="AB155" s="1054">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1055">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334">
        <f t="shared" ref="AD155:AD171" si="107">AB155*AH155+AC155*AI155</f>
        <v>0</v>
      </c>
      <c r="AE155" s="1043">
        <f t="shared" si="104"/>
        <v>8.2480633526375843E-2</v>
      </c>
      <c r="AF155" s="1043">
        <f t="shared" si="105"/>
        <v>0.27309544037047589</v>
      </c>
      <c r="AG155" s="1043">
        <f t="shared" si="106"/>
        <v>0.35557607389685175</v>
      </c>
      <c r="AH155" s="1280">
        <f t="shared" si="102"/>
        <v>0.23196339568759192</v>
      </c>
      <c r="AI155" s="1043">
        <f t="shared" si="103"/>
        <v>0.76803660431240806</v>
      </c>
      <c r="AJ155" s="245"/>
      <c r="AK155" s="245"/>
      <c r="AL155" s="245"/>
      <c r="AM155" s="245"/>
    </row>
    <row r="156" spans="1:39" ht="13.5" thickBot="1" x14ac:dyDescent="0.25">
      <c r="A156" s="346">
        <v>2035</v>
      </c>
      <c r="B156" s="364">
        <v>5.0087655684030903E-2</v>
      </c>
      <c r="C156" s="365">
        <v>0.14429369002571649</v>
      </c>
      <c r="D156" s="365">
        <v>0.35900272954605306</v>
      </c>
      <c r="E156" s="365">
        <v>0.38450027903050815</v>
      </c>
      <c r="F156" s="365">
        <v>0.36979863400429691</v>
      </c>
      <c r="G156" s="365">
        <v>0.36422899478900173</v>
      </c>
      <c r="H156" s="365">
        <v>0.35957050052268341</v>
      </c>
      <c r="I156" s="365">
        <v>0.35013464779102305</v>
      </c>
      <c r="J156" s="365">
        <v>0.34422536898066625</v>
      </c>
      <c r="K156" s="365">
        <v>0.34175111833707283</v>
      </c>
      <c r="L156" s="399">
        <v>0.33787948274431695</v>
      </c>
      <c r="M156" s="328">
        <f t="shared" si="94"/>
        <v>8.2326622843340247E-2</v>
      </c>
      <c r="N156" s="330">
        <f t="shared" si="95"/>
        <v>8.2575132193558776E-2</v>
      </c>
      <c r="O156" s="364">
        <v>5.0087655684030903E-2</v>
      </c>
      <c r="P156" s="365">
        <v>0.1693314468044731</v>
      </c>
      <c r="Q156" s="365">
        <v>0.37545358360201997</v>
      </c>
      <c r="R156" s="365">
        <v>0.38008295830317468</v>
      </c>
      <c r="S156" s="365">
        <v>0.37235324208443715</v>
      </c>
      <c r="T156" s="365">
        <v>0.36180402645146181</v>
      </c>
      <c r="U156" s="365">
        <v>0.35568090061440072</v>
      </c>
      <c r="V156" s="365">
        <v>0.34702713014419945</v>
      </c>
      <c r="W156" s="365">
        <v>0.34422536898066625</v>
      </c>
      <c r="X156" s="365">
        <v>0.34175111833707283</v>
      </c>
      <c r="Y156" s="399">
        <v>0.33787948274431695</v>
      </c>
      <c r="Z156" s="328">
        <f t="shared" si="96"/>
        <v>0.27330326350143541</v>
      </c>
      <c r="AA156" s="330">
        <f t="shared" si="97"/>
        <v>0.26601167539799692</v>
      </c>
      <c r="AB156" s="1054">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1055">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334">
        <f t="shared" si="107"/>
        <v>0</v>
      </c>
      <c r="AE156" s="1043">
        <f t="shared" si="104"/>
        <v>8.2326622843340247E-2</v>
      </c>
      <c r="AF156" s="1043">
        <f t="shared" si="105"/>
        <v>0.27330326350143541</v>
      </c>
      <c r="AG156" s="1043">
        <f t="shared" si="106"/>
        <v>0.35562988634477566</v>
      </c>
      <c r="AH156" s="1280">
        <f t="shared" si="102"/>
        <v>0.23149523143149539</v>
      </c>
      <c r="AI156" s="1043">
        <f t="shared" si="103"/>
        <v>0.76850476856850458</v>
      </c>
      <c r="AJ156" s="245"/>
      <c r="AK156" s="245"/>
      <c r="AL156" s="245"/>
      <c r="AM156" s="245"/>
    </row>
    <row r="157" spans="1:39" x14ac:dyDescent="0.2">
      <c r="A157" s="347">
        <v>2036</v>
      </c>
      <c r="B157" s="360">
        <v>5.0088184480627566E-2</v>
      </c>
      <c r="C157" s="361">
        <v>0.15084455250322185</v>
      </c>
      <c r="D157" s="361">
        <v>0.36465874055926467</v>
      </c>
      <c r="E157" s="361">
        <v>0.37982920519558772</v>
      </c>
      <c r="F157" s="361">
        <v>0.37354892764547931</v>
      </c>
      <c r="G157" s="361">
        <v>0.3643332767307243</v>
      </c>
      <c r="H157" s="361">
        <v>0.35579142023351612</v>
      </c>
      <c r="I157" s="361">
        <v>0.35024840918335171</v>
      </c>
      <c r="J157" s="361">
        <v>0.34434150672451286</v>
      </c>
      <c r="K157" s="361">
        <v>0.34186820729354922</v>
      </c>
      <c r="L157" s="397">
        <v>0.3379655391586624</v>
      </c>
      <c r="M157" s="300">
        <f t="shared" si="94"/>
        <v>8.2116989909123403E-2</v>
      </c>
      <c r="N157" s="302">
        <f t="shared" si="95"/>
        <v>8.2425418178232943E-2</v>
      </c>
      <c r="O157" s="360">
        <v>5.0088184480627566E-2</v>
      </c>
      <c r="P157" s="361">
        <v>0.176525109641304</v>
      </c>
      <c r="Q157" s="361">
        <v>0.37549352411899872</v>
      </c>
      <c r="R157" s="361">
        <v>0.38015996254667872</v>
      </c>
      <c r="S157" s="361">
        <v>0.37244973231698525</v>
      </c>
      <c r="T157" s="361">
        <v>0.36191062120509876</v>
      </c>
      <c r="U157" s="361">
        <v>0.35214474743398327</v>
      </c>
      <c r="V157" s="361">
        <v>0.34714215956636929</v>
      </c>
      <c r="W157" s="361">
        <v>0.34434150672451286</v>
      </c>
      <c r="X157" s="361">
        <v>0.33974522174924671</v>
      </c>
      <c r="Y157" s="397">
        <v>0.33783460102754159</v>
      </c>
      <c r="Z157" s="300">
        <f t="shared" si="96"/>
        <v>0.27247483720106386</v>
      </c>
      <c r="AA157" s="302">
        <f t="shared" si="97"/>
        <v>0.26543173197493702</v>
      </c>
      <c r="AB157" s="1054">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1055">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334">
        <f t="shared" si="107"/>
        <v>0</v>
      </c>
      <c r="AE157" s="1043">
        <f t="shared" si="104"/>
        <v>8.2116989909123403E-2</v>
      </c>
      <c r="AF157" s="1043">
        <f t="shared" si="105"/>
        <v>0.27247483720106386</v>
      </c>
      <c r="AG157" s="1043">
        <f t="shared" si="106"/>
        <v>0.35459182711018727</v>
      </c>
      <c r="AH157" s="1280">
        <f t="shared" si="102"/>
        <v>0.23158173322366521</v>
      </c>
      <c r="AI157" s="1043">
        <f t="shared" si="103"/>
        <v>0.76841826677633474</v>
      </c>
      <c r="AJ157" s="245"/>
      <c r="AK157" s="245"/>
      <c r="AL157" s="245"/>
      <c r="AM157" s="245"/>
    </row>
    <row r="158" spans="1:39" x14ac:dyDescent="0.2">
      <c r="A158" s="348">
        <v>2037</v>
      </c>
      <c r="B158" s="362">
        <v>5.0088379016833377E-2</v>
      </c>
      <c r="C158" s="363">
        <v>0.1508451383644826</v>
      </c>
      <c r="D158" s="363">
        <v>0.36468597021909821</v>
      </c>
      <c r="E158" s="363">
        <v>0.37990147326665336</v>
      </c>
      <c r="F158" s="363">
        <v>0.3736416333757826</v>
      </c>
      <c r="G158" s="363">
        <v>0.36443710475219204</v>
      </c>
      <c r="H158" s="363">
        <v>0.35590167289002117</v>
      </c>
      <c r="I158" s="363">
        <v>0.35036200896166925</v>
      </c>
      <c r="J158" s="363">
        <v>0.34445757337354421</v>
      </c>
      <c r="K158" s="363">
        <v>0.34198526222667358</v>
      </c>
      <c r="L158" s="398">
        <v>0.33797811232089608</v>
      </c>
      <c r="M158" s="314">
        <f t="shared" si="94"/>
        <v>8.2138949818103227E-2</v>
      </c>
      <c r="N158" s="316">
        <f t="shared" si="95"/>
        <v>8.2446707258414839E-2</v>
      </c>
      <c r="O158" s="362">
        <v>5.0088379016833377E-2</v>
      </c>
      <c r="P158" s="363">
        <v>0.17652585730060491</v>
      </c>
      <c r="Q158" s="363">
        <v>0.37553165380150549</v>
      </c>
      <c r="R158" s="363">
        <v>0.3802358543235666</v>
      </c>
      <c r="S158" s="363">
        <v>0.37254555419179242</v>
      </c>
      <c r="T158" s="363">
        <v>0.36201682600418933</v>
      </c>
      <c r="U158" s="363">
        <v>0.35225664607215434</v>
      </c>
      <c r="V158" s="363">
        <v>0.34725707532366856</v>
      </c>
      <c r="W158" s="363">
        <v>0.34445757337354421</v>
      </c>
      <c r="X158" s="363">
        <v>0.33986307121364395</v>
      </c>
      <c r="Y158" s="398">
        <v>0.3376012165341965</v>
      </c>
      <c r="Z158" s="314">
        <f t="shared" si="96"/>
        <v>0.27253867623940004</v>
      </c>
      <c r="AA158" s="316">
        <f t="shared" si="97"/>
        <v>0.26549776501765343</v>
      </c>
      <c r="AB158" s="1054">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1055">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334">
        <f t="shared" si="107"/>
        <v>0</v>
      </c>
      <c r="AE158" s="1043">
        <f t="shared" si="104"/>
        <v>8.2138949818103227E-2</v>
      </c>
      <c r="AF158" s="1043">
        <f t="shared" si="105"/>
        <v>0.27253867623940004</v>
      </c>
      <c r="AG158" s="1043">
        <f t="shared" si="106"/>
        <v>0.35467762605750325</v>
      </c>
      <c r="AH158" s="1280">
        <f t="shared" si="102"/>
        <v>0.23158762713942996</v>
      </c>
      <c r="AI158" s="1043">
        <f t="shared" si="103"/>
        <v>0.76841237286057007</v>
      </c>
      <c r="AJ158" s="245"/>
      <c r="AK158" s="245"/>
      <c r="AL158" s="245"/>
      <c r="AM158" s="245"/>
    </row>
    <row r="159" spans="1:39" x14ac:dyDescent="0.2">
      <c r="A159" s="348">
        <v>2038</v>
      </c>
      <c r="B159" s="362">
        <v>5.008845058308424E-2</v>
      </c>
      <c r="C159" s="363">
        <v>0.15084535389194084</v>
      </c>
      <c r="D159" s="363">
        <v>0.3647127907825532</v>
      </c>
      <c r="E159" s="363">
        <v>0.37997415896757647</v>
      </c>
      <c r="F159" s="363">
        <v>0.37373517327171268</v>
      </c>
      <c r="G159" s="363">
        <v>0.36454201145223031</v>
      </c>
      <c r="H159" s="363">
        <v>0.35601315519327792</v>
      </c>
      <c r="I159" s="363">
        <v>0.35047692040972667</v>
      </c>
      <c r="J159" s="363">
        <v>0.34457501737070179</v>
      </c>
      <c r="K159" s="363">
        <v>0.34210372118203519</v>
      </c>
      <c r="L159" s="398">
        <v>0.33720527923682159</v>
      </c>
      <c r="M159" s="314">
        <f t="shared" si="94"/>
        <v>8.2148606093147919E-2</v>
      </c>
      <c r="N159" s="316">
        <f t="shared" si="95"/>
        <v>8.2462299214624377E-2</v>
      </c>
      <c r="O159" s="362">
        <v>5.008845058308424E-2</v>
      </c>
      <c r="P159" s="363">
        <v>0.17651400540314538</v>
      </c>
      <c r="Q159" s="363">
        <v>0.37556955431163691</v>
      </c>
      <c r="R159" s="363">
        <v>0.3803122334377288</v>
      </c>
      <c r="S159" s="363">
        <v>0.37264203028093817</v>
      </c>
      <c r="T159" s="363">
        <v>0.36212245010969529</v>
      </c>
      <c r="U159" s="363">
        <v>0.35311178437447754</v>
      </c>
      <c r="V159" s="363">
        <v>0.34736476420599438</v>
      </c>
      <c r="W159" s="363">
        <v>0.3445617321333157</v>
      </c>
      <c r="X159" s="363">
        <v>0.33986539292826995</v>
      </c>
      <c r="Y159" s="398">
        <v>0.3362817462612418</v>
      </c>
      <c r="Z159" s="314">
        <f t="shared" si="96"/>
        <v>0.27271934346199633</v>
      </c>
      <c r="AA159" s="316">
        <f t="shared" si="97"/>
        <v>0.26569053786079805</v>
      </c>
      <c r="AB159" s="1054">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1055">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334">
        <f t="shared" si="107"/>
        <v>0</v>
      </c>
      <c r="AE159" s="1043">
        <f t="shared" si="104"/>
        <v>8.2148606093147919E-2</v>
      </c>
      <c r="AF159" s="1043">
        <f t="shared" si="105"/>
        <v>0.27271934346199633</v>
      </c>
      <c r="AG159" s="1043">
        <f t="shared" si="106"/>
        <v>0.35486794955514422</v>
      </c>
      <c r="AH159" s="1280">
        <f t="shared" si="102"/>
        <v>0.23149063249055843</v>
      </c>
      <c r="AI159" s="1043">
        <f t="shared" si="103"/>
        <v>0.76850936750944165</v>
      </c>
      <c r="AJ159" s="245"/>
      <c r="AK159" s="245"/>
      <c r="AL159" s="245"/>
      <c r="AM159" s="245"/>
    </row>
    <row r="160" spans="1:39" x14ac:dyDescent="0.2">
      <c r="A160" s="348">
        <v>2039</v>
      </c>
      <c r="B160" s="362">
        <v>5.0088476910888087E-2</v>
      </c>
      <c r="C160" s="363">
        <v>0.15652934331781446</v>
      </c>
      <c r="D160" s="363">
        <v>0.36473976665377145</v>
      </c>
      <c r="E160" s="363">
        <v>0.38004784856498924</v>
      </c>
      <c r="F160" s="363">
        <v>0.37370233741849979</v>
      </c>
      <c r="G160" s="363">
        <v>0.36284788492946618</v>
      </c>
      <c r="H160" s="363">
        <v>0.35055285225288685</v>
      </c>
      <c r="I160" s="363">
        <v>0.33741903929051525</v>
      </c>
      <c r="J160" s="363">
        <v>0.32227589246983029</v>
      </c>
      <c r="K160" s="363">
        <v>0.30933213237939394</v>
      </c>
      <c r="L160" s="398">
        <v>0.28578997885960084</v>
      </c>
      <c r="M160" s="314">
        <f t="shared" si="94"/>
        <v>7.9987413392498402E-2</v>
      </c>
      <c r="N160" s="316">
        <f t="shared" si="95"/>
        <v>8.1061233381524003E-2</v>
      </c>
      <c r="O160" s="362">
        <v>5.0088476910888087E-2</v>
      </c>
      <c r="P160" s="363">
        <v>0.18276494625083817</v>
      </c>
      <c r="Q160" s="363">
        <v>0.37222471993746076</v>
      </c>
      <c r="R160" s="363">
        <v>0.38038356068429602</v>
      </c>
      <c r="S160" s="363">
        <v>0.36801997904112221</v>
      </c>
      <c r="T160" s="363">
        <v>0.36219441223121474</v>
      </c>
      <c r="U160" s="363">
        <v>0.35317844197080117</v>
      </c>
      <c r="V160" s="363">
        <v>0.34742628475512605</v>
      </c>
      <c r="W160" s="363">
        <v>0.34453709189411846</v>
      </c>
      <c r="X160" s="363">
        <v>0.3391919513793607</v>
      </c>
      <c r="Y160" s="398">
        <v>0.33290670421241753</v>
      </c>
      <c r="Z160" s="314">
        <f t="shared" si="96"/>
        <v>0.27217302807034055</v>
      </c>
      <c r="AA160" s="316">
        <f t="shared" si="97"/>
        <v>0.26521074737283479</v>
      </c>
      <c r="AB160" s="1054">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1055">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334">
        <f t="shared" si="107"/>
        <v>0</v>
      </c>
      <c r="AE160" s="1043">
        <f t="shared" si="104"/>
        <v>7.9987413392498402E-2</v>
      </c>
      <c r="AF160" s="1043">
        <f t="shared" si="105"/>
        <v>0.27217302807034055</v>
      </c>
      <c r="AG160" s="1043">
        <f t="shared" si="106"/>
        <v>0.35216044146283898</v>
      </c>
      <c r="AH160" s="1280">
        <f t="shared" si="102"/>
        <v>0.22713344253045217</v>
      </c>
      <c r="AI160" s="1043">
        <f t="shared" si="103"/>
        <v>0.7728665574695478</v>
      </c>
      <c r="AJ160" s="245"/>
      <c r="AK160" s="245"/>
      <c r="AL160" s="245"/>
      <c r="AM160" s="245"/>
    </row>
    <row r="161" spans="1:48" ht="13.5" thickBot="1" x14ac:dyDescent="0.25">
      <c r="A161" s="346">
        <v>2040</v>
      </c>
      <c r="B161" s="364">
        <v>5.0088486596352823E-2</v>
      </c>
      <c r="C161" s="365">
        <v>0.15652937358544339</v>
      </c>
      <c r="D161" s="365">
        <v>0.3696646808884082</v>
      </c>
      <c r="E161" s="365">
        <v>0.37713509164280412</v>
      </c>
      <c r="F161" s="365">
        <v>0.35957442828661546</v>
      </c>
      <c r="G161" s="365">
        <v>0.33096974595468748</v>
      </c>
      <c r="H161" s="365">
        <v>0.31791968764396855</v>
      </c>
      <c r="I161" s="365">
        <v>0.3001884828627347</v>
      </c>
      <c r="J161" s="365">
        <v>0.284913985693729</v>
      </c>
      <c r="K161" s="365">
        <v>0.27752155758189101</v>
      </c>
      <c r="L161" s="399">
        <v>0.25956543311559216</v>
      </c>
      <c r="M161" s="328">
        <f t="shared" si="94"/>
        <v>7.3837283360116565E-2</v>
      </c>
      <c r="N161" s="330">
        <f t="shared" si="95"/>
        <v>7.5722709143171085E-2</v>
      </c>
      <c r="O161" s="364">
        <v>5.0088486596352823E-2</v>
      </c>
      <c r="P161" s="365">
        <v>0.18275058643089187</v>
      </c>
      <c r="Q161" s="365">
        <v>0.37224971502420562</v>
      </c>
      <c r="R161" s="365">
        <v>0.38040380688407577</v>
      </c>
      <c r="S161" s="365">
        <v>0.36803068537270095</v>
      </c>
      <c r="T161" s="365">
        <v>0.35811064285514854</v>
      </c>
      <c r="U161" s="365">
        <v>0.35318620666936601</v>
      </c>
      <c r="V161" s="365">
        <v>0.34728475100426748</v>
      </c>
      <c r="W161" s="365">
        <v>0.34347424091935819</v>
      </c>
      <c r="X161" s="365">
        <v>0.3362471363125602</v>
      </c>
      <c r="Y161" s="399">
        <v>0.32551798667295528</v>
      </c>
      <c r="Z161" s="328">
        <f t="shared" si="96"/>
        <v>0.27091239501669134</v>
      </c>
      <c r="AA161" s="330">
        <f t="shared" si="97"/>
        <v>0.26417210109807115</v>
      </c>
      <c r="AB161" s="1054">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1055">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334">
        <f t="shared" si="107"/>
        <v>0</v>
      </c>
      <c r="AE161" s="1043">
        <f t="shared" si="104"/>
        <v>7.3837283360116565E-2</v>
      </c>
      <c r="AF161" s="1043">
        <f t="shared" si="105"/>
        <v>0.27091239501669134</v>
      </c>
      <c r="AG161" s="1043">
        <f t="shared" si="106"/>
        <v>0.34474967837680792</v>
      </c>
      <c r="AH161" s="1280">
        <f t="shared" si="102"/>
        <v>0.2141765112233496</v>
      </c>
      <c r="AI161" s="1043">
        <f t="shared" si="103"/>
        <v>0.78582348877665031</v>
      </c>
      <c r="AJ161" s="245"/>
      <c r="AK161" s="245"/>
      <c r="AL161" s="245"/>
      <c r="AM161" s="245"/>
    </row>
    <row r="162" spans="1:48" x14ac:dyDescent="0.2">
      <c r="A162" s="347">
        <v>2041</v>
      </c>
      <c r="B162" s="360">
        <v>5.0088490159437109E-2</v>
      </c>
      <c r="C162" s="361">
        <v>0.15652938472028474</v>
      </c>
      <c r="D162" s="361">
        <v>0.36723177438623483</v>
      </c>
      <c r="E162" s="361">
        <v>0.35813438502602901</v>
      </c>
      <c r="F162" s="361">
        <v>0.33276800537960755</v>
      </c>
      <c r="G162" s="361">
        <v>0.30629525178299366</v>
      </c>
      <c r="H162" s="361">
        <v>0.29240100499875776</v>
      </c>
      <c r="I162" s="361">
        <v>0.28081184696901756</v>
      </c>
      <c r="J162" s="361">
        <v>0.2690352382868102</v>
      </c>
      <c r="K162" s="361">
        <v>0.26352525042301639</v>
      </c>
      <c r="L162" s="397">
        <v>0.24618393371090119</v>
      </c>
      <c r="M162" s="300">
        <f t="shared" si="94"/>
        <v>6.8790020954165795E-2</v>
      </c>
      <c r="N162" s="302">
        <f t="shared" si="95"/>
        <v>7.0740086674607419E-2</v>
      </c>
      <c r="O162" s="360">
        <v>5.0088490159437109E-2</v>
      </c>
      <c r="P162" s="361">
        <v>0.18275069660632193</v>
      </c>
      <c r="Q162" s="361">
        <v>0.37219681817224315</v>
      </c>
      <c r="R162" s="361">
        <v>0.38030911885085583</v>
      </c>
      <c r="S162" s="361">
        <v>0.36793138880998882</v>
      </c>
      <c r="T162" s="361">
        <v>0.35798949192338914</v>
      </c>
      <c r="U162" s="361">
        <v>0.3527418744233945</v>
      </c>
      <c r="V162" s="361">
        <v>0.34528814885035614</v>
      </c>
      <c r="W162" s="361">
        <v>0.33892861403500524</v>
      </c>
      <c r="X162" s="361">
        <v>0.32823190511470463</v>
      </c>
      <c r="Y162" s="397">
        <v>0.31626264523668068</v>
      </c>
      <c r="Z162" s="300">
        <f t="shared" si="96"/>
        <v>0.26969681992657296</v>
      </c>
      <c r="AA162" s="302">
        <f t="shared" si="97"/>
        <v>0.26339117058108097</v>
      </c>
      <c r="AB162" s="1054">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1055">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334">
        <f t="shared" si="107"/>
        <v>0</v>
      </c>
      <c r="AE162" s="1043">
        <f t="shared" si="104"/>
        <v>6.8790020954165795E-2</v>
      </c>
      <c r="AF162" s="1043">
        <f t="shared" si="105"/>
        <v>0.26969681992657296</v>
      </c>
      <c r="AG162" s="1043">
        <f t="shared" si="106"/>
        <v>0.33848684088073877</v>
      </c>
      <c r="AH162" s="1280">
        <f t="shared" si="102"/>
        <v>0.20322805097880606</v>
      </c>
      <c r="AI162" s="1043">
        <f t="shared" si="103"/>
        <v>0.79677194902119386</v>
      </c>
      <c r="AJ162" s="245"/>
      <c r="AK162" s="245"/>
      <c r="AL162" s="245"/>
      <c r="AM162" s="245"/>
    </row>
    <row r="163" spans="1:48" x14ac:dyDescent="0.2">
      <c r="A163" s="348">
        <v>2042</v>
      </c>
      <c r="B163" s="362">
        <v>5.0088491470222693E-2</v>
      </c>
      <c r="C163" s="363">
        <v>0.15652938881656436</v>
      </c>
      <c r="D163" s="363">
        <v>0.35319907463458583</v>
      </c>
      <c r="E163" s="363">
        <v>0.3303490217987437</v>
      </c>
      <c r="F163" s="363">
        <v>0.30736652593407476</v>
      </c>
      <c r="G163" s="363">
        <v>0.28847456351886491</v>
      </c>
      <c r="H163" s="363">
        <v>0.27827249278369565</v>
      </c>
      <c r="I163" s="363">
        <v>0.26878930456691447</v>
      </c>
      <c r="J163" s="363">
        <v>0.25774802025602678</v>
      </c>
      <c r="K163" s="363">
        <v>0.24953610742453688</v>
      </c>
      <c r="L163" s="398">
        <v>0.23592651663104114</v>
      </c>
      <c r="M163" s="314">
        <f t="shared" si="94"/>
        <v>6.4972251266190523E-2</v>
      </c>
      <c r="N163" s="316">
        <f t="shared" si="95"/>
        <v>6.6661479494878398E-2</v>
      </c>
      <c r="O163" s="362">
        <v>5.0088491470222693E-2</v>
      </c>
      <c r="P163" s="363">
        <v>0.19025367519920225</v>
      </c>
      <c r="Q163" s="363">
        <v>0.37193463097187768</v>
      </c>
      <c r="R163" s="363">
        <v>0.37999036498220873</v>
      </c>
      <c r="S163" s="363">
        <v>0.36731100166475722</v>
      </c>
      <c r="T163" s="363">
        <v>0.35553347163884297</v>
      </c>
      <c r="U163" s="363">
        <v>0.34758353013942045</v>
      </c>
      <c r="V163" s="363">
        <v>0.33602332548604869</v>
      </c>
      <c r="W163" s="363">
        <v>0.32666466366920355</v>
      </c>
      <c r="X163" s="363">
        <v>0.3156512995282782</v>
      </c>
      <c r="Y163" s="398">
        <v>0.30155615836632338</v>
      </c>
      <c r="Z163" s="314">
        <f t="shared" si="96"/>
        <v>0.2655664247663404</v>
      </c>
      <c r="AA163" s="316">
        <f t="shared" si="97"/>
        <v>0.26035461750591149</v>
      </c>
      <c r="AB163" s="1054">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1055">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334">
        <f t="shared" si="107"/>
        <v>0</v>
      </c>
      <c r="AE163" s="1043">
        <f t="shared" si="104"/>
        <v>6.4972251266190523E-2</v>
      </c>
      <c r="AF163" s="1043">
        <f t="shared" si="105"/>
        <v>0.2655664247663404</v>
      </c>
      <c r="AG163" s="1043">
        <f t="shared" si="106"/>
        <v>0.33053867603253095</v>
      </c>
      <c r="AH163" s="1280">
        <f t="shared" si="102"/>
        <v>0.19656474711539076</v>
      </c>
      <c r="AI163" s="1043">
        <f t="shared" si="103"/>
        <v>0.80343525288460915</v>
      </c>
      <c r="AJ163" s="245"/>
      <c r="AK163" s="245"/>
      <c r="AL163" s="245"/>
      <c r="AM163" s="245"/>
    </row>
    <row r="164" spans="1:48" x14ac:dyDescent="0.2">
      <c r="A164" s="348">
        <v>2043</v>
      </c>
      <c r="B164" s="362">
        <v>5.0088491952433783E-2</v>
      </c>
      <c r="C164" s="363">
        <v>0.15631618709032744</v>
      </c>
      <c r="D164" s="363">
        <v>0.33389509494059399</v>
      </c>
      <c r="E164" s="363">
        <v>0.31257293124664148</v>
      </c>
      <c r="F164" s="363">
        <v>0.29341512825159327</v>
      </c>
      <c r="G164" s="363">
        <v>0.27718983353416593</v>
      </c>
      <c r="H164" s="363">
        <v>0.26608662910714803</v>
      </c>
      <c r="I164" s="363">
        <v>0.25526700794175544</v>
      </c>
      <c r="J164" s="363">
        <v>0.2465892918518087</v>
      </c>
      <c r="K164" s="363">
        <v>0.24056373799201916</v>
      </c>
      <c r="L164" s="398">
        <v>0.22835146200480894</v>
      </c>
      <c r="M164" s="314">
        <f t="shared" si="94"/>
        <v>6.2076527076066729E-2</v>
      </c>
      <c r="N164" s="316">
        <f t="shared" si="95"/>
        <v>6.3656800038039391E-2</v>
      </c>
      <c r="O164" s="362">
        <v>5.0088491952433783E-2</v>
      </c>
      <c r="P164" s="363">
        <v>0.19020353526775918</v>
      </c>
      <c r="Q164" s="363">
        <v>0.37137537138041721</v>
      </c>
      <c r="R164" s="363">
        <v>0.37725198605271093</v>
      </c>
      <c r="S164" s="363">
        <v>0.36042383802026295</v>
      </c>
      <c r="T164" s="363">
        <v>0.34405348911998185</v>
      </c>
      <c r="U164" s="363">
        <v>0.33377372133140987</v>
      </c>
      <c r="V164" s="363">
        <v>0.32152010922755303</v>
      </c>
      <c r="W164" s="363">
        <v>0.31290380891725211</v>
      </c>
      <c r="X164" s="363">
        <v>0.30245656052832043</v>
      </c>
      <c r="Y164" s="398">
        <v>0.29173880979966904</v>
      </c>
      <c r="Z164" s="314">
        <f t="shared" si="96"/>
        <v>0.25676055434929973</v>
      </c>
      <c r="AA164" s="316">
        <f t="shared" si="97"/>
        <v>0.25252558201421016</v>
      </c>
      <c r="AB164" s="1054">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1055">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334">
        <f t="shared" si="107"/>
        <v>0</v>
      </c>
      <c r="AE164" s="1043">
        <f t="shared" si="104"/>
        <v>6.2076527076066729E-2</v>
      </c>
      <c r="AF164" s="1043">
        <f t="shared" si="105"/>
        <v>0.25676055434929973</v>
      </c>
      <c r="AG164" s="1043">
        <f t="shared" si="106"/>
        <v>0.31883708142536649</v>
      </c>
      <c r="AH164" s="1280">
        <f t="shared" si="102"/>
        <v>0.19469669838449336</v>
      </c>
      <c r="AI164" s="1043">
        <f t="shared" si="103"/>
        <v>0.80530330161550656</v>
      </c>
      <c r="AJ164" s="245"/>
      <c r="AK164" s="245"/>
      <c r="AL164" s="245"/>
      <c r="AM164" s="245"/>
    </row>
    <row r="165" spans="1:48" x14ac:dyDescent="0.2">
      <c r="A165" s="348">
        <v>2044</v>
      </c>
      <c r="B165" s="362">
        <v>5.0088492129829326E-2</v>
      </c>
      <c r="C165" s="363">
        <v>0.15497099655362165</v>
      </c>
      <c r="D165" s="363">
        <v>0.31469568655519559</v>
      </c>
      <c r="E165" s="363">
        <v>0.2945215633787624</v>
      </c>
      <c r="F165" s="363">
        <v>0.27861014409034907</v>
      </c>
      <c r="G165" s="363">
        <v>0.26434229487911631</v>
      </c>
      <c r="H165" s="363">
        <v>0.25593368512170661</v>
      </c>
      <c r="I165" s="363">
        <v>0.24568149052795532</v>
      </c>
      <c r="J165" s="363">
        <v>0.23672031744364413</v>
      </c>
      <c r="K165" s="363">
        <v>0.23206051703218677</v>
      </c>
      <c r="L165" s="398">
        <v>0.22214343396273484</v>
      </c>
      <c r="M165" s="314">
        <f t="shared" si="94"/>
        <v>5.9425498202113791E-2</v>
      </c>
      <c r="N165" s="316">
        <f t="shared" si="95"/>
        <v>6.0818589353152729E-2</v>
      </c>
      <c r="O165" s="362">
        <v>5.0088492129829326E-2</v>
      </c>
      <c r="P165" s="363">
        <v>0.18254310982020028</v>
      </c>
      <c r="Q165" s="363">
        <v>0.36853047240400688</v>
      </c>
      <c r="R165" s="363">
        <v>0.36522276001969084</v>
      </c>
      <c r="S165" s="363">
        <v>0.34571174913768726</v>
      </c>
      <c r="T165" s="363">
        <v>0.33329787834969882</v>
      </c>
      <c r="U165" s="363">
        <v>0.3194468492436866</v>
      </c>
      <c r="V165" s="363">
        <v>0.30790910581106296</v>
      </c>
      <c r="W165" s="363">
        <v>0.3009178726190147</v>
      </c>
      <c r="X165" s="363">
        <v>0.29027931243410993</v>
      </c>
      <c r="Y165" s="398">
        <v>0.28434581405509962</v>
      </c>
      <c r="Z165" s="314">
        <f t="shared" si="96"/>
        <v>0.2471962743462158</v>
      </c>
      <c r="AA165" s="316">
        <f t="shared" si="97"/>
        <v>0.24331999875673002</v>
      </c>
      <c r="AB165" s="1054">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1055">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334">
        <f t="shared" si="107"/>
        <v>0</v>
      </c>
      <c r="AE165" s="1043">
        <f t="shared" si="104"/>
        <v>5.9425498202113791E-2</v>
      </c>
      <c r="AF165" s="1043">
        <f t="shared" si="105"/>
        <v>0.2471962743462158</v>
      </c>
      <c r="AG165" s="1043">
        <f t="shared" si="106"/>
        <v>0.30662177254832956</v>
      </c>
      <c r="AH165" s="1280">
        <f t="shared" si="102"/>
        <v>0.193807170665766</v>
      </c>
      <c r="AI165" s="1043">
        <f t="shared" si="103"/>
        <v>0.80619282933423408</v>
      </c>
      <c r="AJ165" s="245"/>
      <c r="AK165" s="245"/>
      <c r="AL165" s="245"/>
      <c r="AM165" s="245"/>
    </row>
    <row r="166" spans="1:48" ht="13.5" thickBot="1" x14ac:dyDescent="0.25">
      <c r="A166" s="346">
        <v>2045</v>
      </c>
      <c r="B166" s="364">
        <v>5.0088492195089498E-2</v>
      </c>
      <c r="C166" s="365">
        <v>0.14933090753911754</v>
      </c>
      <c r="D166" s="365">
        <v>0.29214778881140796</v>
      </c>
      <c r="E166" s="365">
        <v>0.27606818639996128</v>
      </c>
      <c r="F166" s="365">
        <v>0.26426515556576818</v>
      </c>
      <c r="G166" s="365">
        <v>0.25338414125476366</v>
      </c>
      <c r="H166" s="365">
        <v>0.24491711350631912</v>
      </c>
      <c r="I166" s="365">
        <v>0.23641790632409146</v>
      </c>
      <c r="J166" s="365">
        <v>0.2301405062678018</v>
      </c>
      <c r="K166" s="365">
        <v>0.22570319553720483</v>
      </c>
      <c r="L166" s="399">
        <v>0.21910555109989205</v>
      </c>
      <c r="M166" s="328">
        <f t="shared" si="94"/>
        <v>5.6861664826587333E-2</v>
      </c>
      <c r="N166" s="330">
        <f t="shared" si="95"/>
        <v>5.7994628648869576E-2</v>
      </c>
      <c r="O166" s="364">
        <v>5.0088492195089498E-2</v>
      </c>
      <c r="P166" s="365">
        <v>0.18201874253915634</v>
      </c>
      <c r="Q166" s="365">
        <v>0.35873384831335586</v>
      </c>
      <c r="R166" s="365">
        <v>0.34620904114410844</v>
      </c>
      <c r="S166" s="365">
        <v>0.32897216805303886</v>
      </c>
      <c r="T166" s="365">
        <v>0.31470870432589793</v>
      </c>
      <c r="U166" s="365">
        <v>0.30633506012317374</v>
      </c>
      <c r="V166" s="365">
        <v>0.29721233791669688</v>
      </c>
      <c r="W166" s="365">
        <v>0.29030980970534964</v>
      </c>
      <c r="X166" s="365">
        <v>0.28243500420058287</v>
      </c>
      <c r="Y166" s="399">
        <v>0.27686986068409186</v>
      </c>
      <c r="Z166" s="328">
        <f t="shared" si="96"/>
        <v>0.23650076264258443</v>
      </c>
      <c r="AA166" s="330">
        <f t="shared" si="97"/>
        <v>0.232628337426112</v>
      </c>
      <c r="AB166" s="1054">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1055">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334">
        <f t="shared" si="107"/>
        <v>0</v>
      </c>
      <c r="AE166" s="1043">
        <f t="shared" si="104"/>
        <v>5.6861664826587333E-2</v>
      </c>
      <c r="AF166" s="1043">
        <f t="shared" si="105"/>
        <v>0.23650076264258443</v>
      </c>
      <c r="AG166" s="1043">
        <f t="shared" si="106"/>
        <v>0.29336242746917174</v>
      </c>
      <c r="AH166" s="1280">
        <f t="shared" si="102"/>
        <v>0.19382735995584402</v>
      </c>
      <c r="AI166" s="1043">
        <f t="shared" si="103"/>
        <v>0.80617264004415612</v>
      </c>
      <c r="AJ166" s="245"/>
      <c r="AK166" s="245"/>
      <c r="AL166" s="245"/>
      <c r="AM166" s="245"/>
    </row>
    <row r="167" spans="1:48" x14ac:dyDescent="0.2">
      <c r="A167" s="347">
        <v>2046</v>
      </c>
      <c r="B167" s="360">
        <v>5.0088492195089498E-2</v>
      </c>
      <c r="C167" s="361">
        <v>0.1461937612494337</v>
      </c>
      <c r="D167" s="361">
        <v>0.27698904853203121</v>
      </c>
      <c r="E167" s="361">
        <v>0.26483215480211009</v>
      </c>
      <c r="F167" s="361">
        <v>0.25626828044103184</v>
      </c>
      <c r="G167" s="361">
        <v>0.24725613218285133</v>
      </c>
      <c r="H167" s="361">
        <v>0.23916220974894647</v>
      </c>
      <c r="I167" s="361">
        <v>0.23327538431596456</v>
      </c>
      <c r="J167" s="361">
        <v>0.22706477288040094</v>
      </c>
      <c r="K167" s="361">
        <v>0.22270949320833389</v>
      </c>
      <c r="L167" s="397">
        <v>0.21691159348616057</v>
      </c>
      <c r="M167" s="300">
        <f t="shared" si="94"/>
        <v>5.550010669172703E-2</v>
      </c>
      <c r="N167" s="302">
        <f t="shared" si="95"/>
        <v>5.6446518563535969E-2</v>
      </c>
      <c r="O167" s="360">
        <v>5.0088492195089498E-2</v>
      </c>
      <c r="P167" s="361">
        <v>0.1813754834313103</v>
      </c>
      <c r="Q167" s="361">
        <v>0.34746869770727801</v>
      </c>
      <c r="R167" s="361">
        <v>0.33368075849542078</v>
      </c>
      <c r="S167" s="361">
        <v>0.3231270990561641</v>
      </c>
      <c r="T167" s="361">
        <v>0.30856898946917805</v>
      </c>
      <c r="U167" s="361">
        <v>0.2999491401938138</v>
      </c>
      <c r="V167" s="361">
        <v>0.29105801102639722</v>
      </c>
      <c r="W167" s="361">
        <v>0.28438531095250907</v>
      </c>
      <c r="X167" s="361">
        <v>0.27904997605984955</v>
      </c>
      <c r="Y167" s="397">
        <v>0.27368091549308654</v>
      </c>
      <c r="Z167" s="300">
        <f t="shared" si="96"/>
        <v>0.23173796624532078</v>
      </c>
      <c r="AA167" s="302">
        <f t="shared" si="97"/>
        <v>0.22777023817296274</v>
      </c>
      <c r="AB167" s="1054">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1055">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334">
        <f t="shared" si="107"/>
        <v>0</v>
      </c>
      <c r="AE167" s="1043">
        <f t="shared" si="104"/>
        <v>5.550010669172703E-2</v>
      </c>
      <c r="AF167" s="1043">
        <f t="shared" si="105"/>
        <v>0.23173796624532078</v>
      </c>
      <c r="AG167" s="1043">
        <f t="shared" si="106"/>
        <v>0.28723807293704784</v>
      </c>
      <c r="AH167" s="1280">
        <f t="shared" si="102"/>
        <v>0.19321988246276336</v>
      </c>
      <c r="AI167" s="1043">
        <f t="shared" si="103"/>
        <v>0.80678011753723655</v>
      </c>
      <c r="AJ167" s="245"/>
      <c r="AK167" s="245"/>
      <c r="AL167" s="245"/>
      <c r="AM167" s="245"/>
    </row>
    <row r="168" spans="1:48" x14ac:dyDescent="0.2">
      <c r="A168" s="348">
        <v>2047</v>
      </c>
      <c r="B168" s="362">
        <v>5.0088492195089498E-2</v>
      </c>
      <c r="C168" s="363">
        <v>0.13639111728877176</v>
      </c>
      <c r="D168" s="363">
        <v>0.26573845308166194</v>
      </c>
      <c r="E168" s="363">
        <v>0.25883990994019462</v>
      </c>
      <c r="F168" s="363">
        <v>0.25113761049618866</v>
      </c>
      <c r="G168" s="363">
        <v>0.24260780327917122</v>
      </c>
      <c r="H168" s="363">
        <v>0.23591369190472458</v>
      </c>
      <c r="I168" s="363">
        <v>0.22947165388635707</v>
      </c>
      <c r="J168" s="363">
        <v>0.22362361054508087</v>
      </c>
      <c r="K168" s="363">
        <v>0.22118689455016979</v>
      </c>
      <c r="L168" s="398">
        <v>0.21554375404547885</v>
      </c>
      <c r="M168" s="314">
        <f t="shared" si="94"/>
        <v>5.4576715676245321E-2</v>
      </c>
      <c r="N168" s="316">
        <f t="shared" si="95"/>
        <v>5.5394024044566094E-2</v>
      </c>
      <c r="O168" s="362">
        <v>5.0088492195089498E-2</v>
      </c>
      <c r="P168" s="363">
        <v>0.17394290191638995</v>
      </c>
      <c r="Q168" s="363">
        <v>0.33874857347419013</v>
      </c>
      <c r="R168" s="363">
        <v>0.32551552601851713</v>
      </c>
      <c r="S168" s="363">
        <v>0.3154616259571425</v>
      </c>
      <c r="T168" s="363">
        <v>0.30404162562456283</v>
      </c>
      <c r="U168" s="363">
        <v>0.29321334973723395</v>
      </c>
      <c r="V168" s="363">
        <v>0.28466705623562694</v>
      </c>
      <c r="W168" s="363">
        <v>0.28052786127006696</v>
      </c>
      <c r="X168" s="363">
        <v>0.27536293747744128</v>
      </c>
      <c r="Y168" s="398">
        <v>0.27022941203931333</v>
      </c>
      <c r="Z168" s="314">
        <f t="shared" si="96"/>
        <v>0.2271972844589627</v>
      </c>
      <c r="AA168" s="316">
        <f t="shared" si="97"/>
        <v>0.22311606838292808</v>
      </c>
      <c r="AB168" s="1054">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1055">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334">
        <f t="shared" si="107"/>
        <v>0</v>
      </c>
      <c r="AE168" s="1043">
        <f t="shared" si="104"/>
        <v>5.4576715676245321E-2</v>
      </c>
      <c r="AF168" s="1043">
        <f t="shared" si="105"/>
        <v>0.2271972844589627</v>
      </c>
      <c r="AG168" s="1043">
        <f t="shared" si="106"/>
        <v>0.28177400013520804</v>
      </c>
      <c r="AH168" s="1280">
        <f t="shared" si="102"/>
        <v>0.19368967914022203</v>
      </c>
      <c r="AI168" s="1043">
        <f t="shared" si="103"/>
        <v>0.80631032085977794</v>
      </c>
      <c r="AJ168" s="245"/>
      <c r="AK168" s="245"/>
      <c r="AL168" s="245"/>
      <c r="AM168" s="245"/>
    </row>
    <row r="169" spans="1:48" x14ac:dyDescent="0.2">
      <c r="A169" s="348">
        <v>2048</v>
      </c>
      <c r="B169" s="362">
        <v>5.0088492195089498E-2</v>
      </c>
      <c r="C169" s="363">
        <v>0.13289243404631496</v>
      </c>
      <c r="D169" s="363">
        <v>0.25503559889995148</v>
      </c>
      <c r="E169" s="363">
        <v>0.25284041206892344</v>
      </c>
      <c r="F169" s="363">
        <v>0.24608186771675156</v>
      </c>
      <c r="G169" s="363">
        <v>0.23975413031946799</v>
      </c>
      <c r="H169" s="363">
        <v>0.23336680055104811</v>
      </c>
      <c r="I169" s="363">
        <v>0.22784692530266937</v>
      </c>
      <c r="J169" s="363">
        <v>0.22208551709378266</v>
      </c>
      <c r="K169" s="363">
        <v>0.21954181484395929</v>
      </c>
      <c r="L169" s="398">
        <v>0.21423816434777182</v>
      </c>
      <c r="M169" s="314">
        <f t="shared" si="94"/>
        <v>5.3861743841571455E-2</v>
      </c>
      <c r="N169" s="316">
        <f t="shared" si="95"/>
        <v>5.4549178943967498E-2</v>
      </c>
      <c r="O169" s="362">
        <v>5.0088492195089498E-2</v>
      </c>
      <c r="P169" s="363">
        <v>0.17866468393699261</v>
      </c>
      <c r="Q169" s="363">
        <v>0.33126784323834862</v>
      </c>
      <c r="R169" s="363">
        <v>0.31787002553821803</v>
      </c>
      <c r="S169" s="363">
        <v>0.31126623209468413</v>
      </c>
      <c r="T169" s="363">
        <v>0.30017383747717752</v>
      </c>
      <c r="U169" s="363">
        <v>0.28962062351068235</v>
      </c>
      <c r="V169" s="363">
        <v>0.28131772729609239</v>
      </c>
      <c r="W169" s="363">
        <v>0.27731565700183081</v>
      </c>
      <c r="X169" s="363">
        <v>0.27231092307502686</v>
      </c>
      <c r="Y169" s="398">
        <v>0.26741742355989423</v>
      </c>
      <c r="Z169" s="314">
        <f t="shared" si="96"/>
        <v>0.2242837286624689</v>
      </c>
      <c r="AA169" s="316">
        <f t="shared" si="97"/>
        <v>0.22022972025936158</v>
      </c>
      <c r="AB169" s="1054">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1055">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334">
        <f t="shared" si="107"/>
        <v>0</v>
      </c>
      <c r="AE169" s="1043">
        <f t="shared" si="104"/>
        <v>5.3861743841571455E-2</v>
      </c>
      <c r="AF169" s="1043">
        <f t="shared" si="105"/>
        <v>0.2242837286624689</v>
      </c>
      <c r="AG169" s="1043">
        <f t="shared" si="106"/>
        <v>0.27814547250404037</v>
      </c>
      <c r="AH169" s="1280">
        <f t="shared" si="102"/>
        <v>0.19364594849117686</v>
      </c>
      <c r="AI169" s="1043">
        <f t="shared" si="103"/>
        <v>0.80635405150882311</v>
      </c>
      <c r="AJ169" s="245"/>
      <c r="AK169" s="245"/>
      <c r="AL169" s="245"/>
      <c r="AM169" s="245"/>
    </row>
    <row r="170" spans="1:48" x14ac:dyDescent="0.2">
      <c r="A170" s="348">
        <v>2049</v>
      </c>
      <c r="B170" s="362">
        <v>5.0088492195089498E-2</v>
      </c>
      <c r="C170" s="363">
        <v>0.12043576086137758</v>
      </c>
      <c r="D170" s="363">
        <v>0.25023607927177827</v>
      </c>
      <c r="E170" s="363">
        <v>0.24670981642403675</v>
      </c>
      <c r="F170" s="363">
        <v>0.24288779678108049</v>
      </c>
      <c r="G170" s="363">
        <v>0.2371028496808556</v>
      </c>
      <c r="H170" s="363">
        <v>0.23103657528263999</v>
      </c>
      <c r="I170" s="363">
        <v>0.22582859490789406</v>
      </c>
      <c r="J170" s="363">
        <v>0.22180896834204866</v>
      </c>
      <c r="K170" s="363">
        <v>0.21810002975130832</v>
      </c>
      <c r="L170" s="398">
        <v>0.21411220438816503</v>
      </c>
      <c r="M170" s="314">
        <f t="shared" si="94"/>
        <v>5.3266396479058967E-2</v>
      </c>
      <c r="N170" s="316">
        <f t="shared" si="95"/>
        <v>5.3821576740804192E-2</v>
      </c>
      <c r="O170" s="362">
        <v>5.0088492195089498E-2</v>
      </c>
      <c r="P170" s="363">
        <v>0.16912113714116705</v>
      </c>
      <c r="Q170" s="363">
        <v>0.32438899715962105</v>
      </c>
      <c r="R170" s="363">
        <v>0.31452842871508718</v>
      </c>
      <c r="S170" s="363">
        <v>0.3054589841431512</v>
      </c>
      <c r="T170" s="363">
        <v>0.29493242033700817</v>
      </c>
      <c r="U170" s="363">
        <v>0.28709305014607756</v>
      </c>
      <c r="V170" s="363">
        <v>0.27896184176719807</v>
      </c>
      <c r="W170" s="363">
        <v>0.27501928840037415</v>
      </c>
      <c r="X170" s="363">
        <v>0.26815249974535221</v>
      </c>
      <c r="Y170" s="398">
        <v>0.26526255076510719</v>
      </c>
      <c r="Z170" s="314">
        <f t="shared" si="96"/>
        <v>0.22143766411392915</v>
      </c>
      <c r="AA170" s="316">
        <f t="shared" si="97"/>
        <v>0.21715881586756478</v>
      </c>
      <c r="AB170" s="1054">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1055">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334">
        <f t="shared" si="107"/>
        <v>0</v>
      </c>
      <c r="AE170" s="1043">
        <f t="shared" si="104"/>
        <v>5.3266396479058967E-2</v>
      </c>
      <c r="AF170" s="1043">
        <f t="shared" si="105"/>
        <v>0.22143766411392915</v>
      </c>
      <c r="AG170" s="1043">
        <f t="shared" si="106"/>
        <v>0.27470406059298813</v>
      </c>
      <c r="AH170" s="1280">
        <f t="shared" si="102"/>
        <v>0.19390465639305005</v>
      </c>
      <c r="AI170" s="1043">
        <f t="shared" si="103"/>
        <v>0.8060953436069499</v>
      </c>
      <c r="AJ170" s="245"/>
      <c r="AK170" s="245"/>
      <c r="AL170" s="245"/>
      <c r="AM170" s="245"/>
    </row>
    <row r="171" spans="1:48" ht="13.5" thickBot="1" x14ac:dyDescent="0.25">
      <c r="A171" s="346">
        <v>2050</v>
      </c>
      <c r="B171" s="364">
        <v>5.0088492195089498E-2</v>
      </c>
      <c r="C171" s="365">
        <v>0.11018145063421442</v>
      </c>
      <c r="D171" s="365">
        <v>0.24229831374520333</v>
      </c>
      <c r="E171" s="365">
        <v>0.24484930088946374</v>
      </c>
      <c r="F171" s="365">
        <v>0.24277384359997031</v>
      </c>
      <c r="G171" s="365">
        <v>0.235350768977938</v>
      </c>
      <c r="H171" s="365">
        <v>0.23092744622899039</v>
      </c>
      <c r="I171" s="365">
        <v>0.22571604906818904</v>
      </c>
      <c r="J171" s="365">
        <v>0.22030835959383416</v>
      </c>
      <c r="K171" s="365">
        <v>0.21798243461647387</v>
      </c>
      <c r="L171" s="399">
        <v>0.2128800414457073</v>
      </c>
      <c r="M171" s="328">
        <f t="shared" si="94"/>
        <v>5.3082863316156796E-2</v>
      </c>
      <c r="N171" s="330">
        <f t="shared" si="95"/>
        <v>5.3553557872844548E-2</v>
      </c>
      <c r="O171" s="364">
        <v>5.0073062409414233E-2</v>
      </c>
      <c r="P171" s="365">
        <v>0.16576629555445996</v>
      </c>
      <c r="Q171" s="365">
        <v>0.32164162654299461</v>
      </c>
      <c r="R171" s="365">
        <v>0.30931093900461515</v>
      </c>
      <c r="S171" s="365">
        <v>0.30094302921115629</v>
      </c>
      <c r="T171" s="365">
        <v>0.29071705115173019</v>
      </c>
      <c r="U171" s="365">
        <v>0.28552914580139566</v>
      </c>
      <c r="V171" s="365">
        <v>0.27533968699186984</v>
      </c>
      <c r="W171" s="365">
        <v>0.27154069627478905</v>
      </c>
      <c r="X171" s="365">
        <v>0.26807992677205611</v>
      </c>
      <c r="Y171" s="399">
        <v>0.26223998884157745</v>
      </c>
      <c r="Z171" s="328">
        <f t="shared" si="96"/>
        <v>0.21907687995065209</v>
      </c>
      <c r="AA171" s="330">
        <f t="shared" si="97"/>
        <v>0.2147098688779617</v>
      </c>
      <c r="AB171" s="1056">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1057">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335">
        <f t="shared" si="107"/>
        <v>0</v>
      </c>
      <c r="AE171" s="1043">
        <f t="shared" si="104"/>
        <v>5.3082863316156796E-2</v>
      </c>
      <c r="AF171" s="1043">
        <f t="shared" si="105"/>
        <v>0.21907687995065209</v>
      </c>
      <c r="AG171" s="1043">
        <f t="shared" si="106"/>
        <v>0.27215974326680886</v>
      </c>
      <c r="AH171" s="1280">
        <f t="shared" si="102"/>
        <v>0.19504303861764591</v>
      </c>
      <c r="AI171" s="1043">
        <f t="shared" si="103"/>
        <v>0.80495696138235417</v>
      </c>
      <c r="AJ171" s="245"/>
      <c r="AK171" s="245"/>
      <c r="AL171" s="245"/>
      <c r="AM171" s="245"/>
    </row>
    <row r="172" spans="1:48" x14ac:dyDescent="0.2">
      <c r="B172" s="245" t="str">
        <f>B$120</f>
        <v>Output generated: 2/21/2020 18:23</v>
      </c>
      <c r="O172" s="245" t="str">
        <f>U$120</f>
        <v>Output generated: 2/21/2020 18:23</v>
      </c>
      <c r="W172" s="341"/>
      <c r="X172" s="341"/>
      <c r="Y172" s="341"/>
      <c r="AE172" s="1043"/>
      <c r="AF172" s="1043"/>
      <c r="AG172" s="1043"/>
      <c r="AH172" s="1043"/>
      <c r="AI172" s="1043"/>
      <c r="AJ172" s="245"/>
      <c r="AK172" s="245"/>
      <c r="AL172" s="245"/>
      <c r="AM172" s="245"/>
    </row>
    <row r="173" spans="1:48" ht="13.5" thickBot="1" x14ac:dyDescent="0.25">
      <c r="W173" s="341"/>
      <c r="X173" s="341"/>
      <c r="Y173" s="341"/>
      <c r="AE173" s="1043"/>
      <c r="AF173" s="1043"/>
      <c r="AG173" s="1043"/>
      <c r="AH173" s="1043"/>
      <c r="AI173" s="1043"/>
      <c r="AJ173" s="245"/>
      <c r="AK173" s="245"/>
      <c r="AL173" s="245"/>
      <c r="AM173" s="245"/>
    </row>
    <row r="174" spans="1:48" ht="15" x14ac:dyDescent="0.25">
      <c r="A174" s="351"/>
      <c r="B174" s="1561" t="s">
        <v>193</v>
      </c>
      <c r="C174" s="1562"/>
      <c r="D174" s="1562"/>
      <c r="E174" s="1562"/>
      <c r="F174" s="1562"/>
      <c r="G174" s="1562"/>
      <c r="H174" s="1562"/>
      <c r="I174" s="1562"/>
      <c r="J174" s="1562"/>
      <c r="K174" s="1562"/>
      <c r="L174" s="1562"/>
      <c r="M174" s="1562"/>
      <c r="N174" s="1563"/>
      <c r="O174" s="1561" t="s">
        <v>194</v>
      </c>
      <c r="P174" s="1562"/>
      <c r="Q174" s="1562"/>
      <c r="R174" s="1562"/>
      <c r="S174" s="1562"/>
      <c r="T174" s="1562"/>
      <c r="U174" s="1562"/>
      <c r="V174" s="1562"/>
      <c r="W174" s="1562"/>
      <c r="X174" s="1562"/>
      <c r="Y174" s="1562"/>
      <c r="Z174" s="1562"/>
      <c r="AA174" s="1563"/>
      <c r="AE174" s="1043"/>
      <c r="AF174" s="1043"/>
      <c r="AG174" s="1043"/>
      <c r="AH174" s="1043"/>
      <c r="AI174" s="1043"/>
      <c r="AJ174" s="245"/>
      <c r="AK174" s="245"/>
      <c r="AL174" s="245"/>
      <c r="AM174" s="245"/>
    </row>
    <row r="175" spans="1:48" x14ac:dyDescent="0.2">
      <c r="A175" s="342"/>
      <c r="B175" s="1558" t="s">
        <v>121</v>
      </c>
      <c r="C175" s="1559"/>
      <c r="D175" s="1559"/>
      <c r="E175" s="1559"/>
      <c r="F175" s="1559"/>
      <c r="G175" s="1559"/>
      <c r="H175" s="1559"/>
      <c r="I175" s="1559"/>
      <c r="J175" s="1559"/>
      <c r="K175" s="1559"/>
      <c r="L175" s="1560"/>
      <c r="M175" s="400"/>
      <c r="N175" s="343"/>
      <c r="O175" s="1558" t="s">
        <v>121</v>
      </c>
      <c r="P175" s="1559"/>
      <c r="Q175" s="1559"/>
      <c r="R175" s="1559"/>
      <c r="S175" s="1559"/>
      <c r="T175" s="1559"/>
      <c r="U175" s="1559"/>
      <c r="V175" s="1559"/>
      <c r="W175" s="1559"/>
      <c r="X175" s="1559"/>
      <c r="Y175" s="1560"/>
      <c r="Z175" s="400"/>
      <c r="AA175" s="343"/>
      <c r="AE175" s="1043"/>
      <c r="AF175" s="1043"/>
      <c r="AG175" s="1043"/>
      <c r="AH175" s="1043"/>
      <c r="AI175" s="1043"/>
      <c r="AJ175" s="245"/>
      <c r="AK175" s="245"/>
      <c r="AL175" s="245"/>
      <c r="AM175" s="245"/>
    </row>
    <row r="176" spans="1:48"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C176" s="1009" t="s">
        <v>276</v>
      </c>
      <c r="AD176" s="252" t="b">
        <f>INDEX(TECH_OPT_FUEL2_Cls1,MATCH(RIGHT(O174),TECH_OPT_ROWS_Cls1,0))&lt;&gt;"N/A"</f>
        <v>0</v>
      </c>
      <c r="AE176" s="1043"/>
      <c r="AF176" s="1043"/>
      <c r="AG176" s="1043"/>
      <c r="AH176" s="1043"/>
      <c r="AI176" s="1043"/>
      <c r="AJ176" s="245"/>
      <c r="AK176"/>
      <c r="AL176"/>
      <c r="AM176"/>
      <c r="AN176"/>
      <c r="AO176"/>
      <c r="AP176"/>
      <c r="AQ176"/>
      <c r="AR176"/>
      <c r="AS176"/>
      <c r="AT176"/>
      <c r="AU176"/>
      <c r="AV176"/>
    </row>
    <row r="177" spans="1:48" ht="14.25" thickTop="1" thickBot="1" x14ac:dyDescent="0.25">
      <c r="A177" s="366" t="s">
        <v>124</v>
      </c>
      <c r="B177" s="358">
        <f t="array" ref="B177:L177">TRANSPOSE(Cls1CentTruckShr)</f>
        <v>7.9460669190030697E-3</v>
      </c>
      <c r="C177" s="359">
        <v>4.9615201402207001E-3</v>
      </c>
      <c r="D177" s="359">
        <v>9.2815995818941767E-3</v>
      </c>
      <c r="E177" s="359">
        <v>3.0833513121077051E-2</v>
      </c>
      <c r="F177" s="359">
        <v>4.3269302277925595E-2</v>
      </c>
      <c r="G177" s="359">
        <v>2.8144935330937017E-2</v>
      </c>
      <c r="H177" s="359">
        <v>6.8990329765143715E-2</v>
      </c>
      <c r="I177" s="359">
        <v>2.4926184998997059E-2</v>
      </c>
      <c r="J177" s="359">
        <v>7.8890239376675012E-3</v>
      </c>
      <c r="K177" s="359">
        <v>3.6046105934191604E-3</v>
      </c>
      <c r="L177" s="396">
        <v>7.5162351043371062E-3</v>
      </c>
      <c r="M177" s="403"/>
      <c r="N177" s="352"/>
      <c r="O177" s="358">
        <f t="array" ref="O177:Y177">TRANSPOSE(Cls1NCentTruckShr)</f>
        <v>1.2963682068270432E-2</v>
      </c>
      <c r="P177" s="359">
        <v>2.3837141813212878E-2</v>
      </c>
      <c r="Q177" s="359">
        <v>2.5768680683356839E-2</v>
      </c>
      <c r="R177" s="359">
        <v>5.7965433078982248E-2</v>
      </c>
      <c r="S177" s="359">
        <v>0.10312619102844889</v>
      </c>
      <c r="T177" s="359">
        <v>0.18550667796975542</v>
      </c>
      <c r="U177" s="359">
        <v>0.21310728355070049</v>
      </c>
      <c r="V177" s="359">
        <v>7.3364250696428643E-2</v>
      </c>
      <c r="W177" s="359">
        <v>1.9856733825595378E-2</v>
      </c>
      <c r="X177" s="359">
        <v>2.1261216059795113E-2</v>
      </c>
      <c r="Y177" s="396">
        <v>2.5879387454831333E-2</v>
      </c>
      <c r="Z177" s="403"/>
      <c r="AA177" s="352"/>
      <c r="AB177" s="1042"/>
      <c r="AC177" s="1009" t="s">
        <v>277</v>
      </c>
      <c r="AD177" s="252">
        <f>MATCH(RIGHT(O174),TECH_OPT_ROWS_Cls1,0)</f>
        <v>4</v>
      </c>
      <c r="AE177" s="1043"/>
      <c r="AF177" s="1043"/>
      <c r="AG177" s="1043"/>
      <c r="AH177" s="1043"/>
      <c r="AI177" s="1043"/>
      <c r="AJ177" s="245"/>
      <c r="AK177"/>
      <c r="AL177"/>
      <c r="AM177"/>
      <c r="AN177"/>
      <c r="AO177"/>
      <c r="AP177"/>
      <c r="AQ177"/>
      <c r="AR177"/>
      <c r="AS177"/>
      <c r="AT177"/>
      <c r="AU177"/>
      <c r="AV177"/>
    </row>
    <row r="178" spans="1:48" x14ac:dyDescent="0.2">
      <c r="A178" s="349" t="s">
        <v>125</v>
      </c>
      <c r="B178" s="1029">
        <f t="array" ref="B178:L178">TRANSPOSE(Cls1CentVMTShr)</f>
        <v>8.9762242961142352E-4</v>
      </c>
      <c r="C178" s="1030">
        <v>1.2044238150123706E-3</v>
      </c>
      <c r="D178" s="1030">
        <v>4.1499109643594731E-3</v>
      </c>
      <c r="E178" s="1030">
        <v>1.9575808105519295E-2</v>
      </c>
      <c r="F178" s="1030">
        <v>3.4523467949689302E-2</v>
      </c>
      <c r="G178" s="1030">
        <v>2.7311948935134379E-2</v>
      </c>
      <c r="H178" s="1030">
        <v>7.6478458482655817E-2</v>
      </c>
      <c r="I178" s="1030">
        <v>3.2480526319280681E-2</v>
      </c>
      <c r="J178" s="1030">
        <v>1.1772940427842455E-2</v>
      </c>
      <c r="K178" s="1030">
        <v>6.0339283082965706E-3</v>
      </c>
      <c r="L178" s="1031">
        <v>1.5952440951210019E-2</v>
      </c>
      <c r="M178" s="1032"/>
      <c r="N178" s="1033"/>
      <c r="O178" s="1034">
        <f t="array" ref="O178:Y178">TRANSPOSE(Cls1NCentVMTShr)</f>
        <v>1.3589913425833078E-3</v>
      </c>
      <c r="P178" s="1035">
        <v>5.8692629772239642E-3</v>
      </c>
      <c r="Q178" s="1035">
        <v>1.2100393581509007E-2</v>
      </c>
      <c r="R178" s="1035">
        <v>3.6555003327388577E-2</v>
      </c>
      <c r="S178" s="1035">
        <v>8.3148735051829181E-2</v>
      </c>
      <c r="T178" s="1035">
        <v>0.18151138394047112</v>
      </c>
      <c r="U178" s="1035">
        <v>0.2383386372324876</v>
      </c>
      <c r="V178" s="1035">
        <v>9.5602564448196578E-2</v>
      </c>
      <c r="W178" s="1035">
        <v>2.9193025028929166E-2</v>
      </c>
      <c r="X178" s="1035">
        <v>3.5209492159336005E-2</v>
      </c>
      <c r="Y178" s="1036">
        <v>5.0731034221433824E-2</v>
      </c>
      <c r="Z178" s="1032"/>
      <c r="AA178" s="1033"/>
      <c r="AB178" s="1574" t="str">
        <f>"% of miles on f2 for Tech "&amp; RIGHT(O174)&amp;" adopters"</f>
        <v>% of miles on f2 for Tech C adopters</v>
      </c>
      <c r="AC178" s="1575"/>
      <c r="AD178" s="1576"/>
      <c r="AE178" s="1043" t="s">
        <v>312</v>
      </c>
      <c r="AF178" s="1043"/>
      <c r="AG178" s="1043"/>
      <c r="AH178" s="1280" t="s">
        <v>318</v>
      </c>
      <c r="AI178" s="1043"/>
      <c r="AJ178" s="934"/>
      <c r="AK178"/>
      <c r="AL178"/>
      <c r="AM178"/>
      <c r="AN178"/>
      <c r="AO178"/>
      <c r="AP178"/>
      <c r="AQ178"/>
      <c r="AR178"/>
      <c r="AS178"/>
      <c r="AT178"/>
      <c r="AU178"/>
      <c r="AV178"/>
    </row>
    <row r="179" spans="1:48" ht="13.5" thickBot="1" x14ac:dyDescent="0.25">
      <c r="A179" s="349" t="s">
        <v>275</v>
      </c>
      <c r="B179" s="1039">
        <f t="array" ref="B179:L179">TRANSPOSE(Cls1CentVMT/OPDAYS_Cls1)</f>
        <v>51.642967609234425</v>
      </c>
      <c r="C179" s="1040">
        <v>110.97733417848234</v>
      </c>
      <c r="D179" s="1040">
        <v>204.40224583551472</v>
      </c>
      <c r="E179" s="1040">
        <v>290.24610572847212</v>
      </c>
      <c r="F179" s="1040">
        <v>364.75750419264841</v>
      </c>
      <c r="G179" s="1040">
        <v>443.63126889109378</v>
      </c>
      <c r="H179" s="1040">
        <v>506.78134229373978</v>
      </c>
      <c r="I179" s="1040">
        <v>595.71283413609137</v>
      </c>
      <c r="J179" s="1040">
        <v>682.23089916089702</v>
      </c>
      <c r="K179" s="1040">
        <v>765.26438827532684</v>
      </c>
      <c r="L179" s="1041">
        <v>970.27871027310334</v>
      </c>
      <c r="M179" s="1037"/>
      <c r="N179" s="1038"/>
      <c r="O179" s="1039">
        <f t="array" ref="O179:Y179">TRANSPOSE(Cls1NCentVMT/OPDAYS_Cls1)</f>
        <v>47.924548633512046</v>
      </c>
      <c r="P179" s="1040">
        <v>112.56389213862748</v>
      </c>
      <c r="Q179" s="1040">
        <v>214.67280220238027</v>
      </c>
      <c r="R179" s="1040">
        <v>288.30186744262801</v>
      </c>
      <c r="S179" s="1040">
        <v>368.60089210549245</v>
      </c>
      <c r="T179" s="1040">
        <v>447.31558789932524</v>
      </c>
      <c r="U179" s="1040">
        <v>511.28831950097862</v>
      </c>
      <c r="V179" s="1040">
        <v>595.73726658362273</v>
      </c>
      <c r="W179" s="1040">
        <v>672.11099195240695</v>
      </c>
      <c r="X179" s="1040">
        <v>757.0793017898726</v>
      </c>
      <c r="Y179" s="1041">
        <v>896.16800791754974</v>
      </c>
      <c r="Z179" s="1037"/>
      <c r="AA179" s="1038"/>
      <c r="AB179" s="1051" t="s">
        <v>188</v>
      </c>
      <c r="AC179" s="1052" t="s">
        <v>15</v>
      </c>
      <c r="AD179" s="1053" t="s">
        <v>18</v>
      </c>
      <c r="AE179" s="1043" t="s">
        <v>188</v>
      </c>
      <c r="AF179" s="1043" t="s">
        <v>15</v>
      </c>
      <c r="AG179" s="1043" t="s">
        <v>18</v>
      </c>
      <c r="AH179" s="1280" t="s">
        <v>188</v>
      </c>
      <c r="AI179" s="1043" t="s">
        <v>15</v>
      </c>
      <c r="AJ179" s="245"/>
      <c r="AK179"/>
      <c r="AL179"/>
      <c r="AM179"/>
      <c r="AN179"/>
      <c r="AO179"/>
      <c r="AP179"/>
      <c r="AQ179"/>
      <c r="AR179"/>
      <c r="AS179"/>
      <c r="AT179"/>
      <c r="AU179"/>
      <c r="AV179"/>
    </row>
    <row r="180" spans="1:48" ht="13.5" thickTop="1" x14ac:dyDescent="0.2">
      <c r="A180" s="344">
        <v>2007</v>
      </c>
      <c r="B180" s="360">
        <v>0</v>
      </c>
      <c r="C180" s="361">
        <v>0</v>
      </c>
      <c r="D180" s="361">
        <v>0</v>
      </c>
      <c r="E180" s="361">
        <v>0</v>
      </c>
      <c r="F180" s="361">
        <v>0</v>
      </c>
      <c r="G180" s="361">
        <v>0</v>
      </c>
      <c r="H180" s="361">
        <v>0</v>
      </c>
      <c r="I180" s="361">
        <v>0</v>
      </c>
      <c r="J180" s="361">
        <v>0</v>
      </c>
      <c r="K180" s="361">
        <v>0</v>
      </c>
      <c r="L180" s="397">
        <v>0</v>
      </c>
      <c r="M180" s="300">
        <f t="shared" ref="M180:M223" si="108">SUMPRODUCT($B$178:$L$178,$B180:$L180)</f>
        <v>0</v>
      </c>
      <c r="N180" s="302">
        <f t="shared" ref="N180:N223" si="109">SUMPRODUCT($B$177:$L$177,$B180:$L180)</f>
        <v>0</v>
      </c>
      <c r="O180" s="360">
        <v>0</v>
      </c>
      <c r="P180" s="361">
        <v>0</v>
      </c>
      <c r="Q180" s="361">
        <v>0</v>
      </c>
      <c r="R180" s="361">
        <v>0</v>
      </c>
      <c r="S180" s="361">
        <v>0</v>
      </c>
      <c r="T180" s="361">
        <v>0</v>
      </c>
      <c r="U180" s="361">
        <v>0</v>
      </c>
      <c r="V180" s="361">
        <v>0</v>
      </c>
      <c r="W180" s="361">
        <v>0</v>
      </c>
      <c r="X180" s="361">
        <v>0</v>
      </c>
      <c r="Y180" s="397">
        <v>0</v>
      </c>
      <c r="Z180" s="300">
        <f t="shared" ref="Z180:Z223" si="110">SUMPRODUCT($O$178:$Y$178,$O180:$Y180)</f>
        <v>0</v>
      </c>
      <c r="AA180" s="302">
        <f t="shared" ref="AA180:AA223" si="111">SUMPRODUCT($O$177:$Y$177,$O180:$Y180)</f>
        <v>0</v>
      </c>
      <c r="AB180" s="1054">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1055">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334">
        <f t="shared" ref="AD180:AD205" si="112">AB180*AH180+AC180*AI180</f>
        <v>0</v>
      </c>
      <c r="AE180" s="1043">
        <f t="shared" ref="AE180:AE194" si="113">SUMPRODUCT($B$74:$L$74,B180:L180)</f>
        <v>0</v>
      </c>
      <c r="AF180" s="1043">
        <f t="shared" ref="AF180:AF194" si="114">SUMPRODUCT($O$74:$Y$74,O180:Y180)</f>
        <v>0</v>
      </c>
      <c r="AG180" s="1043">
        <f t="shared" ref="AG180:AG194" si="115">SUM(AE180:AF180)</f>
        <v>0</v>
      </c>
      <c r="AH180" s="1280">
        <f>IF(AG180&gt;0,AE180/AG180,0)</f>
        <v>0</v>
      </c>
      <c r="AI180" s="1043">
        <f>IF(AG180&gt;0,AF180/AG180,0)</f>
        <v>0</v>
      </c>
      <c r="AJ180" s="245"/>
      <c r="AK180"/>
      <c r="AL180"/>
      <c r="AM180"/>
      <c r="AN180"/>
      <c r="AO180"/>
      <c r="AP180"/>
      <c r="AQ180"/>
      <c r="AR180"/>
      <c r="AS180"/>
      <c r="AT180"/>
      <c r="AU180"/>
      <c r="AV180"/>
    </row>
    <row r="181" spans="1:48" x14ac:dyDescent="0.2">
      <c r="A181" s="345">
        <v>2008</v>
      </c>
      <c r="B181" s="362">
        <v>0</v>
      </c>
      <c r="C181" s="363">
        <v>0</v>
      </c>
      <c r="D181" s="363">
        <v>0</v>
      </c>
      <c r="E181" s="363">
        <v>0</v>
      </c>
      <c r="F181" s="363">
        <v>0</v>
      </c>
      <c r="G181" s="363">
        <v>0</v>
      </c>
      <c r="H181" s="363">
        <v>0</v>
      </c>
      <c r="I181" s="363">
        <v>0</v>
      </c>
      <c r="J181" s="363">
        <v>0</v>
      </c>
      <c r="K181" s="363">
        <v>0</v>
      </c>
      <c r="L181" s="398">
        <v>0</v>
      </c>
      <c r="M181" s="314">
        <f t="shared" si="108"/>
        <v>0</v>
      </c>
      <c r="N181" s="316">
        <f t="shared" si="109"/>
        <v>0</v>
      </c>
      <c r="O181" s="362">
        <v>0</v>
      </c>
      <c r="P181" s="363">
        <v>0</v>
      </c>
      <c r="Q181" s="363">
        <v>0</v>
      </c>
      <c r="R181" s="363">
        <v>0</v>
      </c>
      <c r="S181" s="363">
        <v>0</v>
      </c>
      <c r="T181" s="363">
        <v>0</v>
      </c>
      <c r="U181" s="363">
        <v>0</v>
      </c>
      <c r="V181" s="363">
        <v>0</v>
      </c>
      <c r="W181" s="363">
        <v>0</v>
      </c>
      <c r="X181" s="363">
        <v>0</v>
      </c>
      <c r="Y181" s="398">
        <v>0</v>
      </c>
      <c r="Z181" s="314">
        <f t="shared" si="110"/>
        <v>0</v>
      </c>
      <c r="AA181" s="316">
        <f t="shared" si="111"/>
        <v>0</v>
      </c>
      <c r="AB181" s="1054">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1055">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334">
        <f t="shared" si="112"/>
        <v>0</v>
      </c>
      <c r="AE181" s="1043">
        <f t="shared" si="113"/>
        <v>0</v>
      </c>
      <c r="AF181" s="1043">
        <f t="shared" si="114"/>
        <v>0</v>
      </c>
      <c r="AG181" s="1043">
        <f t="shared" si="115"/>
        <v>0</v>
      </c>
      <c r="AH181" s="1280">
        <f t="shared" ref="AH181:AH223" si="116">IF(AG181&gt;0,AE181/AG181,0)</f>
        <v>0</v>
      </c>
      <c r="AI181" s="1043">
        <f t="shared" ref="AI181:AI223" si="117">IF(AG181&gt;0,AF181/AG181,0)</f>
        <v>0</v>
      </c>
      <c r="AJ181" s="245"/>
      <c r="AK181"/>
      <c r="AL181"/>
      <c r="AM181"/>
      <c r="AN181"/>
      <c r="AO181"/>
      <c r="AP181"/>
      <c r="AQ181"/>
      <c r="AR181"/>
      <c r="AS181"/>
      <c r="AT181"/>
      <c r="AU181"/>
      <c r="AV181"/>
    </row>
    <row r="182" spans="1:48" x14ac:dyDescent="0.2">
      <c r="A182" s="345">
        <v>2009</v>
      </c>
      <c r="B182" s="362">
        <v>0</v>
      </c>
      <c r="C182" s="363">
        <v>0</v>
      </c>
      <c r="D182" s="363">
        <v>0</v>
      </c>
      <c r="E182" s="363">
        <v>0</v>
      </c>
      <c r="F182" s="363">
        <v>0</v>
      </c>
      <c r="G182" s="363">
        <v>0</v>
      </c>
      <c r="H182" s="363">
        <v>0</v>
      </c>
      <c r="I182" s="363">
        <v>0</v>
      </c>
      <c r="J182" s="363">
        <v>0</v>
      </c>
      <c r="K182" s="363">
        <v>0</v>
      </c>
      <c r="L182" s="398">
        <v>0</v>
      </c>
      <c r="M182" s="314">
        <f t="shared" si="108"/>
        <v>0</v>
      </c>
      <c r="N182" s="316">
        <f t="shared" si="109"/>
        <v>0</v>
      </c>
      <c r="O182" s="362">
        <v>0</v>
      </c>
      <c r="P182" s="363">
        <v>0</v>
      </c>
      <c r="Q182" s="363">
        <v>0</v>
      </c>
      <c r="R182" s="363">
        <v>0</v>
      </c>
      <c r="S182" s="363">
        <v>0</v>
      </c>
      <c r="T182" s="363">
        <v>0</v>
      </c>
      <c r="U182" s="363">
        <v>0</v>
      </c>
      <c r="V182" s="363">
        <v>0</v>
      </c>
      <c r="W182" s="363">
        <v>0</v>
      </c>
      <c r="X182" s="363">
        <v>0</v>
      </c>
      <c r="Y182" s="398">
        <v>0</v>
      </c>
      <c r="Z182" s="314">
        <f t="shared" si="110"/>
        <v>0</v>
      </c>
      <c r="AA182" s="316">
        <f t="shared" si="111"/>
        <v>0</v>
      </c>
      <c r="AB182" s="1054">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1055">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334">
        <f t="shared" si="112"/>
        <v>0</v>
      </c>
      <c r="AE182" s="1043">
        <f t="shared" si="113"/>
        <v>0</v>
      </c>
      <c r="AF182" s="1043">
        <f t="shared" si="114"/>
        <v>0</v>
      </c>
      <c r="AG182" s="1043">
        <f t="shared" si="115"/>
        <v>0</v>
      </c>
      <c r="AH182" s="1280">
        <f t="shared" si="116"/>
        <v>0</v>
      </c>
      <c r="AI182" s="1043">
        <f t="shared" si="117"/>
        <v>0</v>
      </c>
      <c r="AJ182" s="245"/>
      <c r="AK182"/>
      <c r="AL182"/>
      <c r="AM182"/>
      <c r="AN182"/>
      <c r="AO182"/>
      <c r="AP182"/>
      <c r="AQ182"/>
      <c r="AR182"/>
      <c r="AS182"/>
      <c r="AT182"/>
      <c r="AU182"/>
      <c r="AV182"/>
    </row>
    <row r="183" spans="1:48"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8"/>
        <v>0</v>
      </c>
      <c r="N183" s="330">
        <f t="shared" si="109"/>
        <v>0</v>
      </c>
      <c r="O183" s="364">
        <v>0</v>
      </c>
      <c r="P183" s="365">
        <v>0</v>
      </c>
      <c r="Q183" s="365">
        <v>0</v>
      </c>
      <c r="R183" s="365">
        <v>0</v>
      </c>
      <c r="S183" s="365">
        <v>0</v>
      </c>
      <c r="T183" s="365">
        <v>0</v>
      </c>
      <c r="U183" s="365">
        <v>0</v>
      </c>
      <c r="V183" s="365">
        <v>0</v>
      </c>
      <c r="W183" s="365">
        <v>0</v>
      </c>
      <c r="X183" s="365">
        <v>0</v>
      </c>
      <c r="Y183" s="399">
        <v>0</v>
      </c>
      <c r="Z183" s="328">
        <f t="shared" si="110"/>
        <v>0</v>
      </c>
      <c r="AA183" s="330">
        <f t="shared" si="111"/>
        <v>0</v>
      </c>
      <c r="AB183" s="1054">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1055">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334">
        <f t="shared" si="112"/>
        <v>0</v>
      </c>
      <c r="AE183" s="1043">
        <f t="shared" si="113"/>
        <v>0</v>
      </c>
      <c r="AF183" s="1043">
        <f t="shared" si="114"/>
        <v>0</v>
      </c>
      <c r="AG183" s="1043">
        <f t="shared" si="115"/>
        <v>0</v>
      </c>
      <c r="AH183" s="1280">
        <f t="shared" si="116"/>
        <v>0</v>
      </c>
      <c r="AI183" s="1043">
        <f t="shared" si="117"/>
        <v>0</v>
      </c>
      <c r="AJ183" s="245"/>
      <c r="AK183"/>
      <c r="AL183"/>
      <c r="AM183"/>
      <c r="AN183"/>
      <c r="AO183"/>
      <c r="AP183"/>
      <c r="AQ183"/>
      <c r="AR183"/>
      <c r="AS183"/>
      <c r="AT183"/>
      <c r="AU183"/>
      <c r="AV183"/>
    </row>
    <row r="184" spans="1:48" x14ac:dyDescent="0.2">
      <c r="A184" s="347">
        <v>2011</v>
      </c>
      <c r="B184" s="360">
        <v>0</v>
      </c>
      <c r="C184" s="361">
        <v>0</v>
      </c>
      <c r="D184" s="361">
        <v>0</v>
      </c>
      <c r="E184" s="361">
        <v>0</v>
      </c>
      <c r="F184" s="361">
        <v>0</v>
      </c>
      <c r="G184" s="361">
        <v>0</v>
      </c>
      <c r="H184" s="361">
        <v>0</v>
      </c>
      <c r="I184" s="361">
        <v>0</v>
      </c>
      <c r="J184" s="361">
        <v>0</v>
      </c>
      <c r="K184" s="361">
        <v>0</v>
      </c>
      <c r="L184" s="397">
        <v>0</v>
      </c>
      <c r="M184" s="300">
        <f t="shared" si="108"/>
        <v>0</v>
      </c>
      <c r="N184" s="302">
        <f t="shared" si="109"/>
        <v>0</v>
      </c>
      <c r="O184" s="360">
        <v>0</v>
      </c>
      <c r="P184" s="361">
        <v>0</v>
      </c>
      <c r="Q184" s="361">
        <v>0</v>
      </c>
      <c r="R184" s="361">
        <v>0</v>
      </c>
      <c r="S184" s="361">
        <v>0</v>
      </c>
      <c r="T184" s="361">
        <v>0</v>
      </c>
      <c r="U184" s="361">
        <v>0</v>
      </c>
      <c r="V184" s="361">
        <v>0</v>
      </c>
      <c r="W184" s="361">
        <v>0</v>
      </c>
      <c r="X184" s="361">
        <v>0</v>
      </c>
      <c r="Y184" s="397">
        <v>0</v>
      </c>
      <c r="Z184" s="300">
        <f t="shared" si="110"/>
        <v>0</v>
      </c>
      <c r="AA184" s="302">
        <f t="shared" si="111"/>
        <v>0</v>
      </c>
      <c r="AB184" s="1054">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1055">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334">
        <f t="shared" si="112"/>
        <v>0</v>
      </c>
      <c r="AE184" s="1043">
        <f t="shared" si="113"/>
        <v>0</v>
      </c>
      <c r="AF184" s="1043">
        <f t="shared" si="114"/>
        <v>0</v>
      </c>
      <c r="AG184" s="1043">
        <f t="shared" si="115"/>
        <v>0</v>
      </c>
      <c r="AH184" s="1280">
        <f t="shared" si="116"/>
        <v>0</v>
      </c>
      <c r="AI184" s="1043">
        <f t="shared" si="117"/>
        <v>0</v>
      </c>
      <c r="AJ184" s="245"/>
      <c r="AK184"/>
      <c r="AL184"/>
      <c r="AM184"/>
      <c r="AN184"/>
      <c r="AO184"/>
      <c r="AP184"/>
      <c r="AQ184"/>
      <c r="AR184"/>
      <c r="AS184"/>
      <c r="AT184"/>
      <c r="AU184"/>
      <c r="AV184"/>
    </row>
    <row r="185" spans="1:48" x14ac:dyDescent="0.2">
      <c r="A185" s="348">
        <v>2012</v>
      </c>
      <c r="B185" s="362">
        <v>0</v>
      </c>
      <c r="C185" s="363">
        <v>0</v>
      </c>
      <c r="D185" s="363">
        <v>0</v>
      </c>
      <c r="E185" s="363">
        <v>0</v>
      </c>
      <c r="F185" s="363">
        <v>0</v>
      </c>
      <c r="G185" s="363">
        <v>0</v>
      </c>
      <c r="H185" s="363">
        <v>0</v>
      </c>
      <c r="I185" s="363">
        <v>0</v>
      </c>
      <c r="J185" s="363">
        <v>0</v>
      </c>
      <c r="K185" s="363">
        <v>0</v>
      </c>
      <c r="L185" s="398">
        <v>0</v>
      </c>
      <c r="M185" s="314">
        <f t="shared" si="108"/>
        <v>0</v>
      </c>
      <c r="N185" s="316">
        <f t="shared" si="109"/>
        <v>0</v>
      </c>
      <c r="O185" s="362">
        <v>0</v>
      </c>
      <c r="P185" s="363">
        <v>0</v>
      </c>
      <c r="Q185" s="363">
        <v>0</v>
      </c>
      <c r="R185" s="363">
        <v>0</v>
      </c>
      <c r="S185" s="363">
        <v>0</v>
      </c>
      <c r="T185" s="363">
        <v>0</v>
      </c>
      <c r="U185" s="363">
        <v>0</v>
      </c>
      <c r="V185" s="363">
        <v>0</v>
      </c>
      <c r="W185" s="363">
        <v>0</v>
      </c>
      <c r="X185" s="363">
        <v>0</v>
      </c>
      <c r="Y185" s="398">
        <v>0</v>
      </c>
      <c r="Z185" s="314">
        <f t="shared" si="110"/>
        <v>0</v>
      </c>
      <c r="AA185" s="316">
        <f t="shared" si="111"/>
        <v>0</v>
      </c>
      <c r="AB185" s="1054">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1055">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334">
        <f t="shared" si="112"/>
        <v>0</v>
      </c>
      <c r="AE185" s="1043">
        <f t="shared" si="113"/>
        <v>0</v>
      </c>
      <c r="AF185" s="1043">
        <f t="shared" si="114"/>
        <v>0</v>
      </c>
      <c r="AG185" s="1043">
        <f t="shared" si="115"/>
        <v>0</v>
      </c>
      <c r="AH185" s="1280">
        <f t="shared" si="116"/>
        <v>0</v>
      </c>
      <c r="AI185" s="1043">
        <f t="shared" si="117"/>
        <v>0</v>
      </c>
      <c r="AJ185" s="245"/>
      <c r="AK185"/>
      <c r="AL185"/>
      <c r="AM185"/>
      <c r="AN185"/>
      <c r="AO185"/>
      <c r="AP185"/>
      <c r="AQ185"/>
      <c r="AR185"/>
      <c r="AS185"/>
      <c r="AT185"/>
      <c r="AU185"/>
      <c r="AV185"/>
    </row>
    <row r="186" spans="1:48" x14ac:dyDescent="0.2">
      <c r="A186" s="348">
        <v>2013</v>
      </c>
      <c r="B186" s="362">
        <v>0</v>
      </c>
      <c r="C186" s="363">
        <v>0</v>
      </c>
      <c r="D186" s="363">
        <v>0</v>
      </c>
      <c r="E186" s="363">
        <v>0</v>
      </c>
      <c r="F186" s="363">
        <v>0</v>
      </c>
      <c r="G186" s="363">
        <v>0</v>
      </c>
      <c r="H186" s="363">
        <v>0</v>
      </c>
      <c r="I186" s="363">
        <v>0</v>
      </c>
      <c r="J186" s="363">
        <v>0</v>
      </c>
      <c r="K186" s="363">
        <v>0</v>
      </c>
      <c r="L186" s="398">
        <v>0</v>
      </c>
      <c r="M186" s="314">
        <f t="shared" si="108"/>
        <v>0</v>
      </c>
      <c r="N186" s="316">
        <f t="shared" si="109"/>
        <v>0</v>
      </c>
      <c r="O186" s="362">
        <v>0</v>
      </c>
      <c r="P186" s="363">
        <v>0</v>
      </c>
      <c r="Q186" s="363">
        <v>0</v>
      </c>
      <c r="R186" s="363">
        <v>0</v>
      </c>
      <c r="S186" s="363">
        <v>0</v>
      </c>
      <c r="T186" s="363">
        <v>0</v>
      </c>
      <c r="U186" s="363">
        <v>0</v>
      </c>
      <c r="V186" s="363">
        <v>0</v>
      </c>
      <c r="W186" s="363">
        <v>0</v>
      </c>
      <c r="X186" s="363">
        <v>0</v>
      </c>
      <c r="Y186" s="398">
        <v>0</v>
      </c>
      <c r="Z186" s="314">
        <f t="shared" si="110"/>
        <v>0</v>
      </c>
      <c r="AA186" s="316">
        <f t="shared" si="111"/>
        <v>0</v>
      </c>
      <c r="AB186" s="1054">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1055">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334">
        <f t="shared" si="112"/>
        <v>0</v>
      </c>
      <c r="AE186" s="1043">
        <f t="shared" si="113"/>
        <v>0</v>
      </c>
      <c r="AF186" s="1043">
        <f t="shared" si="114"/>
        <v>0</v>
      </c>
      <c r="AG186" s="1043">
        <f t="shared" si="115"/>
        <v>0</v>
      </c>
      <c r="AH186" s="1280">
        <f t="shared" si="116"/>
        <v>0</v>
      </c>
      <c r="AI186" s="1043">
        <f t="shared" si="117"/>
        <v>0</v>
      </c>
      <c r="AJ186" s="245"/>
      <c r="AK186"/>
      <c r="AL186"/>
      <c r="AM186"/>
      <c r="AN186"/>
      <c r="AO186"/>
      <c r="AP186"/>
      <c r="AQ186"/>
      <c r="AR186"/>
      <c r="AS186"/>
      <c r="AT186"/>
      <c r="AU186"/>
      <c r="AV186"/>
    </row>
    <row r="187" spans="1:48" x14ac:dyDescent="0.2">
      <c r="A187" s="348">
        <v>2014</v>
      </c>
      <c r="B187" s="362">
        <v>0</v>
      </c>
      <c r="C187" s="363">
        <v>0</v>
      </c>
      <c r="D187" s="363">
        <v>0</v>
      </c>
      <c r="E187" s="363">
        <v>0</v>
      </c>
      <c r="F187" s="363">
        <v>0</v>
      </c>
      <c r="G187" s="363">
        <v>0</v>
      </c>
      <c r="H187" s="363">
        <v>0</v>
      </c>
      <c r="I187" s="363">
        <v>0</v>
      </c>
      <c r="J187" s="363">
        <v>0</v>
      </c>
      <c r="K187" s="363">
        <v>0</v>
      </c>
      <c r="L187" s="398">
        <v>0</v>
      </c>
      <c r="M187" s="314">
        <f t="shared" si="108"/>
        <v>0</v>
      </c>
      <c r="N187" s="316">
        <f t="shared" si="109"/>
        <v>0</v>
      </c>
      <c r="O187" s="362">
        <v>0</v>
      </c>
      <c r="P187" s="363">
        <v>0</v>
      </c>
      <c r="Q187" s="363">
        <v>0</v>
      </c>
      <c r="R187" s="363">
        <v>0</v>
      </c>
      <c r="S187" s="363">
        <v>0</v>
      </c>
      <c r="T187" s="363">
        <v>0</v>
      </c>
      <c r="U187" s="363">
        <v>0</v>
      </c>
      <c r="V187" s="363">
        <v>0</v>
      </c>
      <c r="W187" s="363">
        <v>0</v>
      </c>
      <c r="X187" s="363">
        <v>0</v>
      </c>
      <c r="Y187" s="398">
        <v>0</v>
      </c>
      <c r="Z187" s="314">
        <f t="shared" si="110"/>
        <v>0</v>
      </c>
      <c r="AA187" s="316">
        <f t="shared" si="111"/>
        <v>0</v>
      </c>
      <c r="AB187" s="1054">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1055">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334">
        <f t="shared" si="112"/>
        <v>0</v>
      </c>
      <c r="AE187" s="1043">
        <f t="shared" si="113"/>
        <v>0</v>
      </c>
      <c r="AF187" s="1043">
        <f t="shared" si="114"/>
        <v>0</v>
      </c>
      <c r="AG187" s="1043">
        <f t="shared" si="115"/>
        <v>0</v>
      </c>
      <c r="AH187" s="1280">
        <f t="shared" si="116"/>
        <v>0</v>
      </c>
      <c r="AI187" s="1043">
        <f t="shared" si="117"/>
        <v>0</v>
      </c>
      <c r="AJ187" s="245"/>
      <c r="AK187"/>
      <c r="AL187"/>
      <c r="AM187"/>
      <c r="AN187"/>
      <c r="AO187"/>
      <c r="AP187"/>
      <c r="AQ187"/>
      <c r="AR187"/>
      <c r="AS187"/>
      <c r="AT187"/>
      <c r="AU187"/>
      <c r="AV187"/>
    </row>
    <row r="188" spans="1:48"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8"/>
        <v>0</v>
      </c>
      <c r="N188" s="330">
        <f t="shared" si="109"/>
        <v>0</v>
      </c>
      <c r="O188" s="364">
        <v>0</v>
      </c>
      <c r="P188" s="365">
        <v>0</v>
      </c>
      <c r="Q188" s="365">
        <v>0</v>
      </c>
      <c r="R188" s="365">
        <v>0</v>
      </c>
      <c r="S188" s="365">
        <v>0</v>
      </c>
      <c r="T188" s="365">
        <v>0</v>
      </c>
      <c r="U188" s="365">
        <v>0</v>
      </c>
      <c r="V188" s="365">
        <v>0</v>
      </c>
      <c r="W188" s="365">
        <v>0</v>
      </c>
      <c r="X188" s="365">
        <v>0</v>
      </c>
      <c r="Y188" s="399">
        <v>0</v>
      </c>
      <c r="Z188" s="328">
        <f t="shared" si="110"/>
        <v>0</v>
      </c>
      <c r="AA188" s="330">
        <f t="shared" si="111"/>
        <v>0</v>
      </c>
      <c r="AB188" s="1054">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1055">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334">
        <f t="shared" si="112"/>
        <v>0</v>
      </c>
      <c r="AE188" s="1043">
        <f t="shared" si="113"/>
        <v>0</v>
      </c>
      <c r="AF188" s="1043">
        <f t="shared" si="114"/>
        <v>0</v>
      </c>
      <c r="AG188" s="1043">
        <f t="shared" si="115"/>
        <v>0</v>
      </c>
      <c r="AH188" s="1280">
        <f t="shared" si="116"/>
        <v>0</v>
      </c>
      <c r="AI188" s="1043">
        <f t="shared" si="117"/>
        <v>0</v>
      </c>
      <c r="AJ188" s="245"/>
      <c r="AK188"/>
      <c r="AL188"/>
      <c r="AM188"/>
      <c r="AN188"/>
      <c r="AO188"/>
      <c r="AP188"/>
      <c r="AQ188"/>
      <c r="AR188"/>
      <c r="AS188"/>
      <c r="AT188"/>
      <c r="AU188"/>
      <c r="AV188"/>
    </row>
    <row r="189" spans="1:48" x14ac:dyDescent="0.2">
      <c r="A189" s="347">
        <v>2016</v>
      </c>
      <c r="B189" s="360">
        <v>0</v>
      </c>
      <c r="C189" s="361">
        <v>0</v>
      </c>
      <c r="D189" s="361">
        <v>0</v>
      </c>
      <c r="E189" s="361">
        <v>0</v>
      </c>
      <c r="F189" s="361">
        <v>0</v>
      </c>
      <c r="G189" s="361">
        <v>0</v>
      </c>
      <c r="H189" s="361">
        <v>0</v>
      </c>
      <c r="I189" s="361">
        <v>0</v>
      </c>
      <c r="J189" s="361">
        <v>0</v>
      </c>
      <c r="K189" s="361">
        <v>0</v>
      </c>
      <c r="L189" s="397">
        <v>0</v>
      </c>
      <c r="M189" s="300">
        <f t="shared" si="108"/>
        <v>0</v>
      </c>
      <c r="N189" s="302">
        <f t="shared" si="109"/>
        <v>0</v>
      </c>
      <c r="O189" s="360">
        <v>0</v>
      </c>
      <c r="P189" s="361">
        <v>0</v>
      </c>
      <c r="Q189" s="361">
        <v>0</v>
      </c>
      <c r="R189" s="361">
        <v>0</v>
      </c>
      <c r="S189" s="361">
        <v>0</v>
      </c>
      <c r="T189" s="361">
        <v>0</v>
      </c>
      <c r="U189" s="361">
        <v>0</v>
      </c>
      <c r="V189" s="361">
        <v>0</v>
      </c>
      <c r="W189" s="361">
        <v>0</v>
      </c>
      <c r="X189" s="361">
        <v>0</v>
      </c>
      <c r="Y189" s="397">
        <v>0</v>
      </c>
      <c r="Z189" s="300">
        <f t="shared" si="110"/>
        <v>0</v>
      </c>
      <c r="AA189" s="302">
        <f t="shared" si="111"/>
        <v>0</v>
      </c>
      <c r="AB189" s="1054">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1055">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334">
        <f t="shared" si="112"/>
        <v>0</v>
      </c>
      <c r="AE189" s="1043">
        <f t="shared" si="113"/>
        <v>0</v>
      </c>
      <c r="AF189" s="1043">
        <f t="shared" si="114"/>
        <v>0</v>
      </c>
      <c r="AG189" s="1043">
        <f t="shared" si="115"/>
        <v>0</v>
      </c>
      <c r="AH189" s="1280">
        <f t="shared" si="116"/>
        <v>0</v>
      </c>
      <c r="AI189" s="1043">
        <f t="shared" si="117"/>
        <v>0</v>
      </c>
      <c r="AJ189" s="245"/>
      <c r="AK189"/>
      <c r="AL189"/>
      <c r="AM189"/>
      <c r="AN189"/>
      <c r="AO189"/>
      <c r="AP189"/>
      <c r="AQ189"/>
      <c r="AR189"/>
      <c r="AS189"/>
      <c r="AT189"/>
      <c r="AU189"/>
      <c r="AV189"/>
    </row>
    <row r="190" spans="1:48" x14ac:dyDescent="0.2">
      <c r="A190" s="348">
        <v>2017</v>
      </c>
      <c r="B190" s="362">
        <v>0</v>
      </c>
      <c r="C190" s="363">
        <v>0</v>
      </c>
      <c r="D190" s="363">
        <v>0</v>
      </c>
      <c r="E190" s="363">
        <v>0</v>
      </c>
      <c r="F190" s="363">
        <v>0</v>
      </c>
      <c r="G190" s="363">
        <v>0</v>
      </c>
      <c r="H190" s="363">
        <v>0</v>
      </c>
      <c r="I190" s="363">
        <v>0</v>
      </c>
      <c r="J190" s="363">
        <v>0</v>
      </c>
      <c r="K190" s="363">
        <v>0</v>
      </c>
      <c r="L190" s="398">
        <v>0</v>
      </c>
      <c r="M190" s="314">
        <f t="shared" si="108"/>
        <v>0</v>
      </c>
      <c r="N190" s="316">
        <f t="shared" si="109"/>
        <v>0</v>
      </c>
      <c r="O190" s="362">
        <v>0</v>
      </c>
      <c r="P190" s="363">
        <v>0</v>
      </c>
      <c r="Q190" s="363">
        <v>0</v>
      </c>
      <c r="R190" s="363">
        <v>0</v>
      </c>
      <c r="S190" s="363">
        <v>0</v>
      </c>
      <c r="T190" s="363">
        <v>0</v>
      </c>
      <c r="U190" s="363">
        <v>0</v>
      </c>
      <c r="V190" s="363">
        <v>0</v>
      </c>
      <c r="W190" s="363">
        <v>0</v>
      </c>
      <c r="X190" s="363">
        <v>0</v>
      </c>
      <c r="Y190" s="398">
        <v>0</v>
      </c>
      <c r="Z190" s="314">
        <f t="shared" si="110"/>
        <v>0</v>
      </c>
      <c r="AA190" s="316">
        <f t="shared" si="111"/>
        <v>0</v>
      </c>
      <c r="AB190" s="1054">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1055">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334">
        <f t="shared" si="112"/>
        <v>0</v>
      </c>
      <c r="AE190" s="1043">
        <f t="shared" si="113"/>
        <v>0</v>
      </c>
      <c r="AF190" s="1043">
        <f t="shared" si="114"/>
        <v>0</v>
      </c>
      <c r="AG190" s="1043">
        <f t="shared" si="115"/>
        <v>0</v>
      </c>
      <c r="AH190" s="1280">
        <f t="shared" si="116"/>
        <v>0</v>
      </c>
      <c r="AI190" s="1043">
        <f t="shared" si="117"/>
        <v>0</v>
      </c>
      <c r="AJ190" s="245"/>
      <c r="AK190"/>
      <c r="AL190"/>
      <c r="AM190"/>
      <c r="AN190"/>
      <c r="AO190"/>
      <c r="AP190"/>
      <c r="AQ190"/>
      <c r="AR190"/>
      <c r="AS190"/>
      <c r="AT190"/>
      <c r="AU190"/>
      <c r="AV190"/>
    </row>
    <row r="191" spans="1:48" x14ac:dyDescent="0.2">
      <c r="A191" s="348">
        <v>2018</v>
      </c>
      <c r="B191" s="362">
        <v>0</v>
      </c>
      <c r="C191" s="363">
        <v>0</v>
      </c>
      <c r="D191" s="363">
        <v>0</v>
      </c>
      <c r="E191" s="363">
        <v>0</v>
      </c>
      <c r="F191" s="363">
        <v>0</v>
      </c>
      <c r="G191" s="363">
        <v>0</v>
      </c>
      <c r="H191" s="363">
        <v>0</v>
      </c>
      <c r="I191" s="363">
        <v>0</v>
      </c>
      <c r="J191" s="363">
        <v>0</v>
      </c>
      <c r="K191" s="363">
        <v>0</v>
      </c>
      <c r="L191" s="398">
        <v>0</v>
      </c>
      <c r="M191" s="314">
        <f t="shared" si="108"/>
        <v>0</v>
      </c>
      <c r="N191" s="316">
        <f t="shared" si="109"/>
        <v>0</v>
      </c>
      <c r="O191" s="362">
        <v>0</v>
      </c>
      <c r="P191" s="363">
        <v>0</v>
      </c>
      <c r="Q191" s="363">
        <v>0</v>
      </c>
      <c r="R191" s="363">
        <v>0</v>
      </c>
      <c r="S191" s="363">
        <v>0</v>
      </c>
      <c r="T191" s="363">
        <v>0</v>
      </c>
      <c r="U191" s="363">
        <v>0</v>
      </c>
      <c r="V191" s="363">
        <v>0</v>
      </c>
      <c r="W191" s="363">
        <v>0</v>
      </c>
      <c r="X191" s="363">
        <v>0</v>
      </c>
      <c r="Y191" s="398">
        <v>0</v>
      </c>
      <c r="Z191" s="314">
        <f t="shared" si="110"/>
        <v>0</v>
      </c>
      <c r="AA191" s="316">
        <f t="shared" si="111"/>
        <v>0</v>
      </c>
      <c r="AB191" s="1054">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1055">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334">
        <f t="shared" si="112"/>
        <v>0</v>
      </c>
      <c r="AE191" s="1043">
        <f t="shared" si="113"/>
        <v>0</v>
      </c>
      <c r="AF191" s="1043">
        <f t="shared" si="114"/>
        <v>0</v>
      </c>
      <c r="AG191" s="1043">
        <f t="shared" si="115"/>
        <v>0</v>
      </c>
      <c r="AH191" s="1280">
        <f t="shared" si="116"/>
        <v>0</v>
      </c>
      <c r="AI191" s="1043">
        <f t="shared" si="117"/>
        <v>0</v>
      </c>
      <c r="AJ191" s="245"/>
      <c r="AK191"/>
      <c r="AL191"/>
      <c r="AM191"/>
      <c r="AN191"/>
      <c r="AO191"/>
      <c r="AP191"/>
      <c r="AQ191"/>
      <c r="AR191"/>
      <c r="AS191"/>
      <c r="AT191"/>
      <c r="AU191"/>
      <c r="AV191"/>
    </row>
    <row r="192" spans="1:48" x14ac:dyDescent="0.2">
      <c r="A192" s="348">
        <v>2019</v>
      </c>
      <c r="B192" s="362">
        <v>0</v>
      </c>
      <c r="C192" s="363">
        <v>0</v>
      </c>
      <c r="D192" s="363">
        <v>0</v>
      </c>
      <c r="E192" s="363">
        <v>0</v>
      </c>
      <c r="F192" s="363">
        <v>0</v>
      </c>
      <c r="G192" s="363">
        <v>0</v>
      </c>
      <c r="H192" s="363">
        <v>0</v>
      </c>
      <c r="I192" s="363">
        <v>0</v>
      </c>
      <c r="J192" s="363">
        <v>0</v>
      </c>
      <c r="K192" s="363">
        <v>0</v>
      </c>
      <c r="L192" s="398">
        <v>0</v>
      </c>
      <c r="M192" s="314">
        <f t="shared" si="108"/>
        <v>0</v>
      </c>
      <c r="N192" s="316">
        <f t="shared" si="109"/>
        <v>0</v>
      </c>
      <c r="O192" s="362">
        <v>0</v>
      </c>
      <c r="P192" s="363">
        <v>0</v>
      </c>
      <c r="Q192" s="363">
        <v>0</v>
      </c>
      <c r="R192" s="363">
        <v>0</v>
      </c>
      <c r="S192" s="363">
        <v>0</v>
      </c>
      <c r="T192" s="363">
        <v>0</v>
      </c>
      <c r="U192" s="363">
        <v>0</v>
      </c>
      <c r="V192" s="363">
        <v>0</v>
      </c>
      <c r="W192" s="363">
        <v>0</v>
      </c>
      <c r="X192" s="363">
        <v>0</v>
      </c>
      <c r="Y192" s="398">
        <v>0</v>
      </c>
      <c r="Z192" s="314">
        <f t="shared" si="110"/>
        <v>0</v>
      </c>
      <c r="AA192" s="316">
        <f t="shared" si="111"/>
        <v>0</v>
      </c>
      <c r="AB192" s="1054">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1055">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334">
        <f t="shared" si="112"/>
        <v>0</v>
      </c>
      <c r="AE192" s="1043">
        <f t="shared" si="113"/>
        <v>0</v>
      </c>
      <c r="AF192" s="1043">
        <f t="shared" si="114"/>
        <v>0</v>
      </c>
      <c r="AG192" s="1043">
        <f t="shared" si="115"/>
        <v>0</v>
      </c>
      <c r="AH192" s="1280">
        <f t="shared" si="116"/>
        <v>0</v>
      </c>
      <c r="AI192" s="1043">
        <f t="shared" si="117"/>
        <v>0</v>
      </c>
      <c r="AJ192" s="245"/>
      <c r="AK192"/>
      <c r="AL192"/>
      <c r="AM192"/>
      <c r="AN192"/>
      <c r="AO192"/>
      <c r="AP192"/>
      <c r="AQ192"/>
      <c r="AR192"/>
      <c r="AS192"/>
      <c r="AT192"/>
      <c r="AU192"/>
      <c r="AV192"/>
    </row>
    <row r="193" spans="1:48"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8"/>
        <v>0</v>
      </c>
      <c r="N193" s="330">
        <f t="shared" si="109"/>
        <v>0</v>
      </c>
      <c r="O193" s="364">
        <v>0</v>
      </c>
      <c r="P193" s="365">
        <v>0</v>
      </c>
      <c r="Q193" s="365">
        <v>0</v>
      </c>
      <c r="R193" s="365">
        <v>0</v>
      </c>
      <c r="S193" s="365">
        <v>0</v>
      </c>
      <c r="T193" s="365">
        <v>0</v>
      </c>
      <c r="U193" s="365">
        <v>0</v>
      </c>
      <c r="V193" s="365">
        <v>0</v>
      </c>
      <c r="W193" s="365">
        <v>0</v>
      </c>
      <c r="X193" s="365">
        <v>0</v>
      </c>
      <c r="Y193" s="399">
        <v>0</v>
      </c>
      <c r="Z193" s="328">
        <f t="shared" si="110"/>
        <v>0</v>
      </c>
      <c r="AA193" s="330">
        <f t="shared" si="111"/>
        <v>0</v>
      </c>
      <c r="AB193" s="1054">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1055">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334">
        <f t="shared" si="112"/>
        <v>0</v>
      </c>
      <c r="AE193" s="1043">
        <f t="shared" si="113"/>
        <v>0</v>
      </c>
      <c r="AF193" s="1043">
        <f t="shared" si="114"/>
        <v>0</v>
      </c>
      <c r="AG193" s="1043">
        <f t="shared" si="115"/>
        <v>0</v>
      </c>
      <c r="AH193" s="1280">
        <f t="shared" si="116"/>
        <v>0</v>
      </c>
      <c r="AI193" s="1043">
        <f t="shared" si="117"/>
        <v>0</v>
      </c>
      <c r="AJ193" s="245"/>
      <c r="AK193"/>
      <c r="AL193"/>
      <c r="AM193"/>
      <c r="AN193"/>
      <c r="AO193"/>
      <c r="AP193"/>
      <c r="AQ193"/>
      <c r="AR193"/>
      <c r="AS193"/>
      <c r="AT193"/>
      <c r="AU193"/>
      <c r="AV193"/>
    </row>
    <row r="194" spans="1:48" x14ac:dyDescent="0.2">
      <c r="A194" s="347">
        <v>2021</v>
      </c>
      <c r="B194" s="360">
        <v>0</v>
      </c>
      <c r="C194" s="361">
        <v>0</v>
      </c>
      <c r="D194" s="361">
        <v>0</v>
      </c>
      <c r="E194" s="361">
        <v>0</v>
      </c>
      <c r="F194" s="361">
        <v>0</v>
      </c>
      <c r="G194" s="361">
        <v>0</v>
      </c>
      <c r="H194" s="361">
        <v>0</v>
      </c>
      <c r="I194" s="361">
        <v>0</v>
      </c>
      <c r="J194" s="361">
        <v>0</v>
      </c>
      <c r="K194" s="361">
        <v>0</v>
      </c>
      <c r="L194" s="397">
        <v>0</v>
      </c>
      <c r="M194" s="300">
        <f t="shared" si="108"/>
        <v>0</v>
      </c>
      <c r="N194" s="302">
        <f t="shared" si="109"/>
        <v>0</v>
      </c>
      <c r="O194" s="360">
        <v>0</v>
      </c>
      <c r="P194" s="361">
        <v>0</v>
      </c>
      <c r="Q194" s="361">
        <v>0</v>
      </c>
      <c r="R194" s="361">
        <v>0</v>
      </c>
      <c r="S194" s="361">
        <v>0</v>
      </c>
      <c r="T194" s="361">
        <v>0</v>
      </c>
      <c r="U194" s="361">
        <v>0</v>
      </c>
      <c r="V194" s="361">
        <v>0</v>
      </c>
      <c r="W194" s="361">
        <v>0</v>
      </c>
      <c r="X194" s="361">
        <v>0</v>
      </c>
      <c r="Y194" s="397">
        <v>0</v>
      </c>
      <c r="Z194" s="300">
        <f t="shared" si="110"/>
        <v>0</v>
      </c>
      <c r="AA194" s="302">
        <f t="shared" si="111"/>
        <v>0</v>
      </c>
      <c r="AB194" s="1054">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1055">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334">
        <f t="shared" si="112"/>
        <v>0</v>
      </c>
      <c r="AE194" s="1043">
        <f t="shared" si="113"/>
        <v>0</v>
      </c>
      <c r="AF194" s="1043">
        <f t="shared" si="114"/>
        <v>0</v>
      </c>
      <c r="AG194" s="1043">
        <f t="shared" si="115"/>
        <v>0</v>
      </c>
      <c r="AH194" s="1280">
        <f t="shared" si="116"/>
        <v>0</v>
      </c>
      <c r="AI194" s="1043">
        <f t="shared" si="117"/>
        <v>0</v>
      </c>
      <c r="AJ194" s="245"/>
      <c r="AK194" s="245"/>
      <c r="AL194" s="245"/>
      <c r="AM194" s="245"/>
    </row>
    <row r="195" spans="1:48" x14ac:dyDescent="0.2">
      <c r="A195" s="348">
        <v>2022</v>
      </c>
      <c r="B195" s="362">
        <v>0</v>
      </c>
      <c r="C195" s="363">
        <v>0</v>
      </c>
      <c r="D195" s="363">
        <v>0</v>
      </c>
      <c r="E195" s="363">
        <v>0</v>
      </c>
      <c r="F195" s="363">
        <v>0</v>
      </c>
      <c r="G195" s="363">
        <v>0</v>
      </c>
      <c r="H195" s="363">
        <v>0</v>
      </c>
      <c r="I195" s="363">
        <v>0</v>
      </c>
      <c r="J195" s="363">
        <v>0</v>
      </c>
      <c r="K195" s="363">
        <v>0</v>
      </c>
      <c r="L195" s="398">
        <v>1.4634547500128858E-4</v>
      </c>
      <c r="M195" s="314">
        <f t="shared" si="108"/>
        <v>2.334567548434838E-6</v>
      </c>
      <c r="N195" s="316">
        <f t="shared" si="109"/>
        <v>1.0999669965655736E-6</v>
      </c>
      <c r="O195" s="362">
        <v>0</v>
      </c>
      <c r="P195" s="363">
        <v>0</v>
      </c>
      <c r="Q195" s="363">
        <v>0</v>
      </c>
      <c r="R195" s="363">
        <v>0</v>
      </c>
      <c r="S195" s="363">
        <v>0</v>
      </c>
      <c r="T195" s="363">
        <v>0</v>
      </c>
      <c r="U195" s="363">
        <v>0</v>
      </c>
      <c r="V195" s="363">
        <v>0</v>
      </c>
      <c r="W195" s="363">
        <v>0</v>
      </c>
      <c r="X195" s="363">
        <v>0</v>
      </c>
      <c r="Y195" s="398">
        <v>8.805751018062431E-5</v>
      </c>
      <c r="Z195" s="314">
        <f t="shared" si="110"/>
        <v>4.4672485624275093E-6</v>
      </c>
      <c r="AA195" s="316">
        <f t="shared" si="111"/>
        <v>2.2788744242721312E-6</v>
      </c>
      <c r="AB195" s="1054">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1055">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334">
        <f t="shared" si="112"/>
        <v>0</v>
      </c>
      <c r="AE195" s="1043">
        <f>SUMPRODUCT($B$74:$L$74,B195:L195)</f>
        <v>2.334567548434838E-6</v>
      </c>
      <c r="AF195" s="1043">
        <f>SUMPRODUCT($O$74:$Y$74,O195:Y195)</f>
        <v>4.4672485624275093E-6</v>
      </c>
      <c r="AG195" s="1043">
        <f>SUM(AE195:AF195)</f>
        <v>6.8018161108623473E-6</v>
      </c>
      <c r="AH195" s="1280">
        <f t="shared" si="116"/>
        <v>0.34322708970426091</v>
      </c>
      <c r="AI195" s="1043">
        <f t="shared" si="117"/>
        <v>0.65677291029573903</v>
      </c>
      <c r="AJ195" s="245"/>
      <c r="AK195" s="245"/>
      <c r="AL195" s="245"/>
      <c r="AM195" s="245"/>
    </row>
    <row r="196" spans="1:48" x14ac:dyDescent="0.2">
      <c r="A196" s="348">
        <v>2023</v>
      </c>
      <c r="B196" s="362">
        <v>0</v>
      </c>
      <c r="C196" s="363">
        <v>0</v>
      </c>
      <c r="D196" s="363">
        <v>0</v>
      </c>
      <c r="E196" s="363">
        <v>0</v>
      </c>
      <c r="F196" s="363">
        <v>0</v>
      </c>
      <c r="G196" s="363">
        <v>0</v>
      </c>
      <c r="H196" s="363">
        <v>3.3431761329272329E-5</v>
      </c>
      <c r="I196" s="363">
        <v>5.501460390010145E-4</v>
      </c>
      <c r="J196" s="363">
        <v>2.3999838546455354E-3</v>
      </c>
      <c r="K196" s="363">
        <v>5.9187347527060452E-3</v>
      </c>
      <c r="L196" s="398">
        <v>2.0779327036358375E-2</v>
      </c>
      <c r="M196" s="314">
        <f t="shared" si="108"/>
        <v>4.158749181456094E-4</v>
      </c>
      <c r="N196" s="316">
        <f t="shared" si="109"/>
        <v>2.1247008156707523E-4</v>
      </c>
      <c r="O196" s="362">
        <v>0</v>
      </c>
      <c r="P196" s="363">
        <v>0</v>
      </c>
      <c r="Q196" s="363">
        <v>0</v>
      </c>
      <c r="R196" s="363">
        <v>0</v>
      </c>
      <c r="S196" s="363">
        <v>0</v>
      </c>
      <c r="T196" s="363">
        <v>0</v>
      </c>
      <c r="U196" s="363">
        <v>1.0083404275473178E-4</v>
      </c>
      <c r="V196" s="363">
        <v>8.744845560855497E-4</v>
      </c>
      <c r="W196" s="363">
        <v>3.1606217793104614E-3</v>
      </c>
      <c r="X196" s="363">
        <v>7.505590876171188E-3</v>
      </c>
      <c r="Y196" s="398">
        <v>1.8977693562647505E-2</v>
      </c>
      <c r="Z196" s="314">
        <f t="shared" si="110"/>
        <v>1.4269297898556036E-3</v>
      </c>
      <c r="AA196" s="316">
        <f t="shared" si="111"/>
        <v>7.9911307252037464E-4</v>
      </c>
      <c r="AB196" s="1054">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1055">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334">
        <f t="shared" si="112"/>
        <v>0</v>
      </c>
      <c r="AE196" s="1043">
        <f t="shared" ref="AE196:AE223" si="118">SUMPRODUCT($B$74:$L$74,B196:L196)</f>
        <v>4.158749181456094E-4</v>
      </c>
      <c r="AF196" s="1043">
        <f t="shared" ref="AF196:AF223" si="119">SUMPRODUCT($O$74:$Y$74,O196:Y196)</f>
        <v>1.4269297898556036E-3</v>
      </c>
      <c r="AG196" s="1043">
        <f t="shared" ref="AG196:AG223" si="120">SUM(AE196:AF196)</f>
        <v>1.842804708001213E-3</v>
      </c>
      <c r="AH196" s="1280">
        <f t="shared" si="116"/>
        <v>0.22567498136939623</v>
      </c>
      <c r="AI196" s="1043">
        <f t="shared" si="117"/>
        <v>0.77432501863060377</v>
      </c>
      <c r="AJ196" s="245"/>
      <c r="AK196" s="245"/>
      <c r="AL196" s="245"/>
      <c r="AM196" s="245"/>
    </row>
    <row r="197" spans="1:48" x14ac:dyDescent="0.2">
      <c r="A197" s="348">
        <v>2024</v>
      </c>
      <c r="B197" s="362">
        <v>0</v>
      </c>
      <c r="C197" s="363">
        <v>0</v>
      </c>
      <c r="D197" s="363">
        <v>0</v>
      </c>
      <c r="E197" s="363">
        <v>0</v>
      </c>
      <c r="F197" s="363">
        <v>0</v>
      </c>
      <c r="G197" s="363">
        <v>1.1999275232846094E-3</v>
      </c>
      <c r="H197" s="363">
        <v>5.1137707477842643E-3</v>
      </c>
      <c r="I197" s="363">
        <v>1.7485268440263668E-2</v>
      </c>
      <c r="J197" s="363">
        <v>3.2340775617501843E-2</v>
      </c>
      <c r="K197" s="363">
        <v>5.0006680452301853E-2</v>
      </c>
      <c r="L197" s="398">
        <v>8.6390796988993254E-2</v>
      </c>
      <c r="M197" s="314">
        <f t="shared" si="108"/>
        <v>3.0524232220547629E-3</v>
      </c>
      <c r="N197" s="316">
        <f t="shared" si="109"/>
        <v>1.9071389528064068E-3</v>
      </c>
      <c r="O197" s="362">
        <v>0</v>
      </c>
      <c r="P197" s="363">
        <v>0</v>
      </c>
      <c r="Q197" s="363">
        <v>0</v>
      </c>
      <c r="R197" s="363">
        <v>0</v>
      </c>
      <c r="S197" s="363">
        <v>1.3312363632301611E-4</v>
      </c>
      <c r="T197" s="363">
        <v>2.2414225096180438E-3</v>
      </c>
      <c r="U197" s="363">
        <v>7.673531345777378E-3</v>
      </c>
      <c r="V197" s="363">
        <v>2.171579668850937E-2</v>
      </c>
      <c r="W197" s="363">
        <v>3.8871932200532457E-2</v>
      </c>
      <c r="X197" s="363">
        <v>5.8422461307698667E-2</v>
      </c>
      <c r="Y197" s="398">
        <v>8.1419676770892332E-2</v>
      </c>
      <c r="Z197" s="314">
        <f t="shared" si="110"/>
        <v>1.164521651141009E-2</v>
      </c>
      <c r="AA197" s="316">
        <f t="shared" si="111"/>
        <v>7.7790694951055863E-3</v>
      </c>
      <c r="AB197" s="1054">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1055">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334">
        <f t="shared" si="112"/>
        <v>0</v>
      </c>
      <c r="AE197" s="1043">
        <f t="shared" si="118"/>
        <v>3.0524232220547629E-3</v>
      </c>
      <c r="AF197" s="1043">
        <f t="shared" si="119"/>
        <v>1.164521651141009E-2</v>
      </c>
      <c r="AG197" s="1043">
        <f t="shared" si="120"/>
        <v>1.4697639733464853E-2</v>
      </c>
      <c r="AH197" s="1280">
        <f t="shared" si="116"/>
        <v>0.20768118401383473</v>
      </c>
      <c r="AI197" s="1043">
        <f t="shared" si="117"/>
        <v>0.79231881598616527</v>
      </c>
      <c r="AJ197" s="245"/>
      <c r="AK197" s="245"/>
      <c r="AL197" s="245"/>
      <c r="AM197" s="245"/>
    </row>
    <row r="198" spans="1:48" ht="13.5" thickBot="1" x14ac:dyDescent="0.25">
      <c r="A198" s="346">
        <v>2025</v>
      </c>
      <c r="B198" s="364">
        <v>0</v>
      </c>
      <c r="C198" s="365">
        <v>0</v>
      </c>
      <c r="D198" s="365">
        <v>0</v>
      </c>
      <c r="E198" s="365">
        <v>0</v>
      </c>
      <c r="F198" s="365">
        <v>2.0362154513534443E-3</v>
      </c>
      <c r="G198" s="365">
        <v>1.2479266890423979E-2</v>
      </c>
      <c r="H198" s="365">
        <v>3.1881697997896273E-2</v>
      </c>
      <c r="I198" s="365">
        <v>6.2144229094564074E-2</v>
      </c>
      <c r="J198" s="365">
        <v>9.8134196051408523E-2</v>
      </c>
      <c r="K198" s="365">
        <v>0.11914354190067776</v>
      </c>
      <c r="L198" s="399">
        <v>0.17001149716769098</v>
      </c>
      <c r="M198" s="328">
        <f t="shared" si="108"/>
        <v>9.4542007081857768E-3</v>
      </c>
      <c r="N198" s="330">
        <f t="shared" si="109"/>
        <v>6.6693766690335155E-3</v>
      </c>
      <c r="O198" s="364">
        <v>0</v>
      </c>
      <c r="P198" s="365">
        <v>0</v>
      </c>
      <c r="Q198" s="365">
        <v>0</v>
      </c>
      <c r="R198" s="365">
        <v>8.9313556705107215E-5</v>
      </c>
      <c r="S198" s="365">
        <v>3.7185246750090833E-3</v>
      </c>
      <c r="T198" s="365">
        <v>2.051664809969532E-2</v>
      </c>
      <c r="U198" s="365">
        <v>4.3132581665859419E-2</v>
      </c>
      <c r="V198" s="365">
        <v>7.2774869360317532E-2</v>
      </c>
      <c r="W198" s="365">
        <v>0.10500271284443431</v>
      </c>
      <c r="X198" s="365">
        <v>0.12641094145490989</v>
      </c>
      <c r="Y198" s="399">
        <v>0.16287161166774997</v>
      </c>
      <c r="Z198" s="328">
        <f t="shared" si="110"/>
        <v>3.7052942724933313E-2</v>
      </c>
      <c r="AA198" s="330">
        <f t="shared" si="111"/>
        <v>2.7713249490767259E-2</v>
      </c>
      <c r="AB198" s="1054">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1055">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334">
        <f t="shared" si="112"/>
        <v>0</v>
      </c>
      <c r="AE198" s="1043">
        <f t="shared" si="118"/>
        <v>9.4542007081857768E-3</v>
      </c>
      <c r="AF198" s="1043">
        <f t="shared" si="119"/>
        <v>3.7052942724933313E-2</v>
      </c>
      <c r="AG198" s="1043">
        <f t="shared" si="120"/>
        <v>4.650714343311909E-2</v>
      </c>
      <c r="AH198" s="1280">
        <f t="shared" si="116"/>
        <v>0.20328491518258171</v>
      </c>
      <c r="AI198" s="1043">
        <f t="shared" si="117"/>
        <v>0.79671508481741826</v>
      </c>
      <c r="AJ198" s="245"/>
      <c r="AK198" s="245"/>
      <c r="AL198" s="245"/>
      <c r="AM198" s="245"/>
    </row>
    <row r="199" spans="1:48" x14ac:dyDescent="0.2">
      <c r="A199" s="347">
        <v>2026</v>
      </c>
      <c r="B199" s="360">
        <v>0</v>
      </c>
      <c r="C199" s="361">
        <v>0</v>
      </c>
      <c r="D199" s="361">
        <v>0</v>
      </c>
      <c r="E199" s="361">
        <v>1.3030873382450219E-3</v>
      </c>
      <c r="F199" s="361">
        <v>1.50680694874222E-2</v>
      </c>
      <c r="G199" s="361">
        <v>5.212570576347187E-2</v>
      </c>
      <c r="H199" s="361">
        <v>8.08814427795055E-2</v>
      </c>
      <c r="I199" s="361">
        <v>0.12664603264106608</v>
      </c>
      <c r="J199" s="361">
        <v>0.17019006863545255</v>
      </c>
      <c r="K199" s="361">
        <v>0.19602933257980526</v>
      </c>
      <c r="L199" s="397">
        <v>0.23694996296226226</v>
      </c>
      <c r="M199" s="300">
        <f t="shared" si="108"/>
        <v>1.9234978246883312E-2</v>
      </c>
      <c r="N199" s="302">
        <f t="shared" si="109"/>
        <v>1.4726292643813779E-2</v>
      </c>
      <c r="O199" s="360">
        <v>0</v>
      </c>
      <c r="P199" s="361">
        <v>0</v>
      </c>
      <c r="Q199" s="361">
        <v>0</v>
      </c>
      <c r="R199" s="361">
        <v>2.1115207917219306E-3</v>
      </c>
      <c r="S199" s="361">
        <v>2.206164003484206E-2</v>
      </c>
      <c r="T199" s="361">
        <v>6.2208581033577036E-2</v>
      </c>
      <c r="U199" s="361">
        <v>0.10339777735267996</v>
      </c>
      <c r="V199" s="361">
        <v>0.14375220954004553</v>
      </c>
      <c r="W199" s="361">
        <v>0.17019006863545255</v>
      </c>
      <c r="X199" s="361">
        <v>0.19642255445479012</v>
      </c>
      <c r="Y199" s="397">
        <v>0.22932539896094412</v>
      </c>
      <c r="Z199" s="300">
        <f t="shared" si="110"/>
        <v>7.5108130959113686E-2</v>
      </c>
      <c r="AA199" s="302">
        <f t="shared" si="111"/>
        <v>6.0009130041082055E-2</v>
      </c>
      <c r="AB199" s="1054">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1055">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334">
        <f t="shared" si="112"/>
        <v>0</v>
      </c>
      <c r="AE199" s="1043">
        <f t="shared" si="118"/>
        <v>1.9234978246883312E-2</v>
      </c>
      <c r="AF199" s="1043">
        <f t="shared" si="119"/>
        <v>7.5108130959113686E-2</v>
      </c>
      <c r="AG199" s="1043">
        <f t="shared" si="120"/>
        <v>9.4343109205997006E-2</v>
      </c>
      <c r="AH199" s="1280">
        <f t="shared" si="116"/>
        <v>0.20388323438529016</v>
      </c>
      <c r="AI199" s="1043">
        <f t="shared" si="117"/>
        <v>0.79611676561470979</v>
      </c>
      <c r="AJ199" s="245"/>
      <c r="AK199" s="245"/>
      <c r="AL199" s="245"/>
      <c r="AM199" s="245"/>
    </row>
    <row r="200" spans="1:48" x14ac:dyDescent="0.2">
      <c r="A200" s="348">
        <v>2027</v>
      </c>
      <c r="B200" s="362">
        <v>0</v>
      </c>
      <c r="C200" s="363">
        <v>0</v>
      </c>
      <c r="D200" s="363">
        <v>0</v>
      </c>
      <c r="E200" s="363">
        <v>9.692548412168097E-3</v>
      </c>
      <c r="F200" s="363">
        <v>5.1222822073573676E-2</v>
      </c>
      <c r="G200" s="363">
        <v>0.10283106531815991</v>
      </c>
      <c r="H200" s="363">
        <v>0.14623210974898287</v>
      </c>
      <c r="I200" s="363">
        <v>0.19290223502630041</v>
      </c>
      <c r="J200" s="363">
        <v>0.22149405140542508</v>
      </c>
      <c r="K200" s="363">
        <v>0.23994186243782367</v>
      </c>
      <c r="L200" s="398">
        <v>0.27879559723346953</v>
      </c>
      <c r="M200" s="314">
        <f t="shared" si="108"/>
        <v>3.0718716755674128E-2</v>
      </c>
      <c r="N200" s="316">
        <f t="shared" si="109"/>
        <v>2.5014085152281974E-2</v>
      </c>
      <c r="O200" s="362">
        <v>0</v>
      </c>
      <c r="P200" s="363">
        <v>0</v>
      </c>
      <c r="Q200" s="363">
        <v>4.2867388995020367E-4</v>
      </c>
      <c r="R200" s="363">
        <v>1.4649114230673103E-2</v>
      </c>
      <c r="S200" s="363">
        <v>6.136275923342898E-2</v>
      </c>
      <c r="T200" s="363">
        <v>0.11936385843312124</v>
      </c>
      <c r="U200" s="363">
        <v>0.16391021539039016</v>
      </c>
      <c r="V200" s="363">
        <v>0.20340909791098505</v>
      </c>
      <c r="W200" s="363">
        <v>0.23059287559091465</v>
      </c>
      <c r="X200" s="363">
        <v>0.24823196488542773</v>
      </c>
      <c r="Y200" s="398">
        <v>0.27180665617842314</v>
      </c>
      <c r="Z200" s="314">
        <f t="shared" si="110"/>
        <v>0.11508224703161497</v>
      </c>
      <c r="AA200" s="316">
        <f t="shared" si="111"/>
        <v>9.6075230449751359E-2</v>
      </c>
      <c r="AB200" s="1054">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1055">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334">
        <f t="shared" si="112"/>
        <v>0</v>
      </c>
      <c r="AE200" s="1043">
        <f t="shared" si="118"/>
        <v>3.0718716755674128E-2</v>
      </c>
      <c r="AF200" s="1043">
        <f t="shared" si="119"/>
        <v>0.11508224703161497</v>
      </c>
      <c r="AG200" s="1043">
        <f t="shared" si="120"/>
        <v>0.1458009637872891</v>
      </c>
      <c r="AH200" s="1280">
        <f t="shared" si="116"/>
        <v>0.21068939434783202</v>
      </c>
      <c r="AI200" s="1043">
        <f t="shared" si="117"/>
        <v>0.78931060565216804</v>
      </c>
      <c r="AJ200" s="245"/>
      <c r="AK200" s="245"/>
      <c r="AL200" s="245"/>
      <c r="AM200" s="245"/>
    </row>
    <row r="201" spans="1:48" x14ac:dyDescent="0.2">
      <c r="A201" s="348">
        <v>2028</v>
      </c>
      <c r="B201" s="362">
        <v>0</v>
      </c>
      <c r="C201" s="363">
        <v>0</v>
      </c>
      <c r="D201" s="363">
        <v>8.6764862663702498E-4</v>
      </c>
      <c r="E201" s="363">
        <v>3.1135552916202996E-2</v>
      </c>
      <c r="F201" s="363">
        <v>9.0335100658217746E-2</v>
      </c>
      <c r="G201" s="363">
        <v>0.15089751114217728</v>
      </c>
      <c r="H201" s="363">
        <v>0.19011839909313724</v>
      </c>
      <c r="I201" s="363">
        <v>0.22925064724040842</v>
      </c>
      <c r="J201" s="363">
        <v>0.2564288363455085</v>
      </c>
      <c r="K201" s="363">
        <v>0.27274842067742711</v>
      </c>
      <c r="L201" s="398">
        <v>0.30045731747974191</v>
      </c>
      <c r="M201" s="314">
        <f t="shared" si="108"/>
        <v>3.9296927564293267E-2</v>
      </c>
      <c r="N201" s="316">
        <f t="shared" si="109"/>
        <v>3.3218917119744451E-2</v>
      </c>
      <c r="O201" s="362">
        <v>0</v>
      </c>
      <c r="P201" s="363">
        <v>0</v>
      </c>
      <c r="Q201" s="363">
        <v>3.6796755107620944E-3</v>
      </c>
      <c r="R201" s="363">
        <v>3.8189012609148268E-2</v>
      </c>
      <c r="S201" s="363">
        <v>0.10603988296746093</v>
      </c>
      <c r="T201" s="363">
        <v>0.17025241318702497</v>
      </c>
      <c r="U201" s="363">
        <v>0.20985387030340044</v>
      </c>
      <c r="V201" s="363">
        <v>0.23792458003374237</v>
      </c>
      <c r="W201" s="363">
        <v>0.26494499472938149</v>
      </c>
      <c r="X201" s="363">
        <v>0.28043409563029775</v>
      </c>
      <c r="Y201" s="398">
        <v>0.29433060920021126</v>
      </c>
      <c r="Z201" s="314">
        <f t="shared" si="110"/>
        <v>0.14646302789954257</v>
      </c>
      <c r="AA201" s="316">
        <f t="shared" si="111"/>
        <v>0.12584386664339869</v>
      </c>
      <c r="AB201" s="1054">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1055">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334">
        <f t="shared" si="112"/>
        <v>0</v>
      </c>
      <c r="AE201" s="1043">
        <f t="shared" si="118"/>
        <v>3.9296927564293267E-2</v>
      </c>
      <c r="AF201" s="1043">
        <f t="shared" si="119"/>
        <v>0.14646302789954257</v>
      </c>
      <c r="AG201" s="1043">
        <f t="shared" si="120"/>
        <v>0.18575995546383584</v>
      </c>
      <c r="AH201" s="1280">
        <f t="shared" si="116"/>
        <v>0.2115468183988862</v>
      </c>
      <c r="AI201" s="1043">
        <f t="shared" si="117"/>
        <v>0.78845318160111388</v>
      </c>
      <c r="AJ201" s="245"/>
      <c r="AK201" s="245"/>
      <c r="AL201" s="245"/>
      <c r="AM201" s="245"/>
    </row>
    <row r="202" spans="1:48" x14ac:dyDescent="0.2">
      <c r="A202" s="348">
        <v>2029</v>
      </c>
      <c r="B202" s="362">
        <v>0</v>
      </c>
      <c r="C202" s="363">
        <v>0</v>
      </c>
      <c r="D202" s="363">
        <v>6.6994054569035144E-3</v>
      </c>
      <c r="E202" s="363">
        <v>7.0320170860516881E-2</v>
      </c>
      <c r="F202" s="363">
        <v>0.14309059994593207</v>
      </c>
      <c r="G202" s="363">
        <v>0.20099865462894198</v>
      </c>
      <c r="H202" s="363">
        <v>0.23091858636714718</v>
      </c>
      <c r="I202" s="363">
        <v>0.26764632030002561</v>
      </c>
      <c r="J202" s="363">
        <v>0.28387832239018246</v>
      </c>
      <c r="K202" s="363">
        <v>0.29794053926188596</v>
      </c>
      <c r="L202" s="398">
        <v>0.31466420459328254</v>
      </c>
      <c r="M202" s="314">
        <f t="shared" si="108"/>
        <v>4.8347112285912444E-2</v>
      </c>
      <c r="N202" s="316">
        <f t="shared" si="109"/>
        <v>4.2360047429984393E-2</v>
      </c>
      <c r="O202" s="362">
        <v>0</v>
      </c>
      <c r="P202" s="363">
        <v>0</v>
      </c>
      <c r="Q202" s="363">
        <v>1.7086126039294654E-2</v>
      </c>
      <c r="R202" s="363">
        <v>8.2809008562225755E-2</v>
      </c>
      <c r="S202" s="363">
        <v>0.16099066087899944</v>
      </c>
      <c r="T202" s="363">
        <v>0.21244867212365337</v>
      </c>
      <c r="U202" s="363">
        <v>0.24159901308339934</v>
      </c>
      <c r="V202" s="363">
        <v>0.26820398716744964</v>
      </c>
      <c r="W202" s="363">
        <v>0.28387832239018246</v>
      </c>
      <c r="X202" s="363">
        <v>0.29794053926188596</v>
      </c>
      <c r="Y202" s="398">
        <v>0.30972910231845807</v>
      </c>
      <c r="Z202" s="314">
        <f t="shared" si="110"/>
        <v>0.17289570297845433</v>
      </c>
      <c r="AA202" s="316">
        <f t="shared" si="111"/>
        <v>0.15240351587130302</v>
      </c>
      <c r="AB202" s="1054">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1055">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334">
        <f t="shared" si="112"/>
        <v>0</v>
      </c>
      <c r="AE202" s="1043">
        <f t="shared" si="118"/>
        <v>4.8347112285912444E-2</v>
      </c>
      <c r="AF202" s="1043">
        <f t="shared" si="119"/>
        <v>0.17289570297845433</v>
      </c>
      <c r="AG202" s="1043">
        <f t="shared" si="120"/>
        <v>0.22124281526436679</v>
      </c>
      <c r="AH202" s="1280">
        <f t="shared" si="116"/>
        <v>0.21852511788073958</v>
      </c>
      <c r="AI202" s="1043">
        <f t="shared" si="117"/>
        <v>0.78147488211926031</v>
      </c>
      <c r="AJ202" s="245"/>
      <c r="AK202" s="245"/>
      <c r="AL202" s="245"/>
      <c r="AM202" s="245"/>
    </row>
    <row r="203" spans="1:48" ht="13.5" thickBot="1" x14ac:dyDescent="0.25">
      <c r="A203" s="346">
        <v>2030</v>
      </c>
      <c r="B203" s="364">
        <v>0</v>
      </c>
      <c r="C203" s="365">
        <v>0</v>
      </c>
      <c r="D203" s="365">
        <v>1.9043414646014754E-2</v>
      </c>
      <c r="E203" s="365">
        <v>0.1077852561196062</v>
      </c>
      <c r="F203" s="365">
        <v>0.18150357401734193</v>
      </c>
      <c r="G203" s="365">
        <v>0.23208166120342216</v>
      </c>
      <c r="H203" s="365">
        <v>0.26034671416923372</v>
      </c>
      <c r="I203" s="365">
        <v>0.28529196446203198</v>
      </c>
      <c r="J203" s="365">
        <v>0.29941946227399174</v>
      </c>
      <c r="K203" s="365">
        <v>0.30564771516559985</v>
      </c>
      <c r="L203" s="399">
        <v>0.32047526222009293</v>
      </c>
      <c r="M203" s="328">
        <f t="shared" si="108"/>
        <v>5.44527623867085E-2</v>
      </c>
      <c r="N203" s="330">
        <f t="shared" si="109"/>
        <v>4.8830889474894362E-2</v>
      </c>
      <c r="O203" s="364">
        <v>0</v>
      </c>
      <c r="P203" s="365">
        <v>0</v>
      </c>
      <c r="Q203" s="365">
        <v>3.885832796442714E-2</v>
      </c>
      <c r="R203" s="365">
        <v>0.12359305669216596</v>
      </c>
      <c r="S203" s="365">
        <v>0.20330066466164115</v>
      </c>
      <c r="T203" s="365">
        <v>0.24158829697359624</v>
      </c>
      <c r="U203" s="365">
        <v>0.26898378545474727</v>
      </c>
      <c r="V203" s="365">
        <v>0.29262007224770847</v>
      </c>
      <c r="W203" s="365">
        <v>0.29941946227399174</v>
      </c>
      <c r="X203" s="365">
        <v>0.31126240626459395</v>
      </c>
      <c r="Y203" s="399">
        <v>0.32047526222009293</v>
      </c>
      <c r="Z203" s="328">
        <f t="shared" si="110"/>
        <v>0.19378621567303445</v>
      </c>
      <c r="AA203" s="330">
        <f t="shared" si="111"/>
        <v>0.17359458798274749</v>
      </c>
      <c r="AB203" s="1054">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1055">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334">
        <f t="shared" si="112"/>
        <v>0</v>
      </c>
      <c r="AE203" s="1043">
        <f t="shared" si="118"/>
        <v>5.44527623867085E-2</v>
      </c>
      <c r="AF203" s="1043">
        <f t="shared" si="119"/>
        <v>0.19378621567303445</v>
      </c>
      <c r="AG203" s="1043">
        <f t="shared" si="120"/>
        <v>0.24823897805974293</v>
      </c>
      <c r="AH203" s="1280">
        <f t="shared" si="116"/>
        <v>0.21935621396895824</v>
      </c>
      <c r="AI203" s="1043">
        <f t="shared" si="117"/>
        <v>0.78064378603104179</v>
      </c>
      <c r="AJ203" s="245"/>
      <c r="AK203" s="245"/>
      <c r="AL203" s="245"/>
      <c r="AM203" s="245"/>
    </row>
    <row r="204" spans="1:48" x14ac:dyDescent="0.2">
      <c r="A204" s="347">
        <v>2031</v>
      </c>
      <c r="B204" s="360">
        <v>0</v>
      </c>
      <c r="C204" s="361">
        <v>0</v>
      </c>
      <c r="D204" s="361">
        <v>2.7802796215807217E-2</v>
      </c>
      <c r="E204" s="361">
        <v>0.12498120693915273</v>
      </c>
      <c r="F204" s="361">
        <v>0.19142226520522115</v>
      </c>
      <c r="G204" s="361">
        <v>0.2416037092232973</v>
      </c>
      <c r="H204" s="361">
        <v>0.26901463659006997</v>
      </c>
      <c r="I204" s="361">
        <v>0.28533346892929934</v>
      </c>
      <c r="J204" s="361">
        <v>0.2994714649416777</v>
      </c>
      <c r="K204" s="361">
        <v>0.3113238237372275</v>
      </c>
      <c r="L204" s="397">
        <v>0.32054439110048449</v>
      </c>
      <c r="M204" s="300">
        <f t="shared" si="108"/>
        <v>5.6128452643182503E-2</v>
      </c>
      <c r="N204" s="302">
        <f t="shared" si="109"/>
        <v>5.0760001769897263E-2</v>
      </c>
      <c r="O204" s="360">
        <v>0</v>
      </c>
      <c r="P204" s="361">
        <v>0</v>
      </c>
      <c r="Q204" s="361">
        <v>4.7894262943066326E-2</v>
      </c>
      <c r="R204" s="361">
        <v>0.13251674471748121</v>
      </c>
      <c r="S204" s="361">
        <v>0.21326936376395988</v>
      </c>
      <c r="T204" s="361">
        <v>0.2508611735122282</v>
      </c>
      <c r="U204" s="361">
        <v>0.27726085661260996</v>
      </c>
      <c r="V204" s="361">
        <v>0.29266692275221556</v>
      </c>
      <c r="W204" s="361">
        <v>0.30570459927422378</v>
      </c>
      <c r="X204" s="361">
        <v>0.3113238237372275</v>
      </c>
      <c r="Y204" s="397">
        <v>0.32054439110048449</v>
      </c>
      <c r="Z204" s="300">
        <f t="shared" si="110"/>
        <v>0.1989001533700111</v>
      </c>
      <c r="AA204" s="302">
        <f t="shared" si="111"/>
        <v>0.17898815045484526</v>
      </c>
      <c r="AB204" s="1054">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1055">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334">
        <f t="shared" si="112"/>
        <v>0</v>
      </c>
      <c r="AE204" s="1043">
        <f t="shared" si="118"/>
        <v>5.6128452643182503E-2</v>
      </c>
      <c r="AF204" s="1043">
        <f t="shared" si="119"/>
        <v>0.1989001533700111</v>
      </c>
      <c r="AG204" s="1043">
        <f t="shared" si="120"/>
        <v>0.2550286060131936</v>
      </c>
      <c r="AH204" s="1280">
        <f t="shared" si="116"/>
        <v>0.22008688954790728</v>
      </c>
      <c r="AI204" s="1043">
        <f t="shared" si="117"/>
        <v>0.77991311045209277</v>
      </c>
      <c r="AJ204" s="245"/>
      <c r="AK204" s="245"/>
      <c r="AL204" s="245"/>
      <c r="AM204" s="245"/>
    </row>
    <row r="205" spans="1:48" x14ac:dyDescent="0.2">
      <c r="A205" s="348">
        <v>2032</v>
      </c>
      <c r="B205" s="362">
        <v>0</v>
      </c>
      <c r="C205" s="363">
        <v>0</v>
      </c>
      <c r="D205" s="363">
        <v>3.4778807871696203E-2</v>
      </c>
      <c r="E205" s="363">
        <v>0.13384382328871289</v>
      </c>
      <c r="F205" s="363">
        <v>0.20111810693040305</v>
      </c>
      <c r="G205" s="363">
        <v>0.25060976865462153</v>
      </c>
      <c r="H205" s="363">
        <v>0.26875425121497909</v>
      </c>
      <c r="I205" s="363">
        <v>0.29239776883577101</v>
      </c>
      <c r="J205" s="363">
        <v>0.30543190417935784</v>
      </c>
      <c r="K205" s="363">
        <v>0.31104982478463755</v>
      </c>
      <c r="L205" s="398">
        <v>0.32377254488813306</v>
      </c>
      <c r="M205" s="314">
        <f t="shared" si="108"/>
        <v>5.7241156309404746E-2</v>
      </c>
      <c r="N205" s="316">
        <f t="shared" si="109"/>
        <v>5.1999443105576582E-2</v>
      </c>
      <c r="O205" s="362">
        <v>0</v>
      </c>
      <c r="P205" s="363">
        <v>0</v>
      </c>
      <c r="Q205" s="363">
        <v>5.7283946540971208E-2</v>
      </c>
      <c r="R205" s="363">
        <v>0.15089563234404893</v>
      </c>
      <c r="S205" s="363">
        <v>0.22289547340401408</v>
      </c>
      <c r="T205" s="363">
        <v>0.25956066306743653</v>
      </c>
      <c r="U205" s="363">
        <v>0.27699735165995965</v>
      </c>
      <c r="V205" s="363">
        <v>0.29920037286793105</v>
      </c>
      <c r="W205" s="363">
        <v>0.30543190417935784</v>
      </c>
      <c r="X205" s="363">
        <v>0.31601066706512548</v>
      </c>
      <c r="Y205" s="398">
        <v>0.32026854292275503</v>
      </c>
      <c r="Z205" s="314">
        <f t="shared" si="110"/>
        <v>0.20276994545404645</v>
      </c>
      <c r="AA205" s="316">
        <f t="shared" si="111"/>
        <v>0.18341222904339058</v>
      </c>
      <c r="AB205" s="1054">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1055">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334">
        <f t="shared" si="112"/>
        <v>0</v>
      </c>
      <c r="AE205" s="1043">
        <f t="shared" si="118"/>
        <v>5.7241156309404746E-2</v>
      </c>
      <c r="AF205" s="1043">
        <f t="shared" si="119"/>
        <v>0.20276994545404645</v>
      </c>
      <c r="AG205" s="1043">
        <f t="shared" si="120"/>
        <v>0.26001110176345121</v>
      </c>
      <c r="AH205" s="1280">
        <f t="shared" si="116"/>
        <v>0.22014889334025706</v>
      </c>
      <c r="AI205" s="1043">
        <f t="shared" si="117"/>
        <v>0.77985110665974289</v>
      </c>
      <c r="AJ205" s="245"/>
      <c r="AK205" s="245"/>
      <c r="AL205" s="245"/>
      <c r="AM205" s="245"/>
    </row>
    <row r="206" spans="1:48" x14ac:dyDescent="0.2">
      <c r="A206" s="348">
        <v>2033</v>
      </c>
      <c r="B206" s="362">
        <v>0</v>
      </c>
      <c r="C206" s="363">
        <v>0</v>
      </c>
      <c r="D206" s="363">
        <v>3.869489599027192E-2</v>
      </c>
      <c r="E206" s="363">
        <v>0.14285858948796781</v>
      </c>
      <c r="F206" s="363">
        <v>0.21064399821386146</v>
      </c>
      <c r="G206" s="363">
        <v>0.25024318426630571</v>
      </c>
      <c r="H206" s="363">
        <v>0.27660736285653259</v>
      </c>
      <c r="I206" s="363">
        <v>0.29199561616760034</v>
      </c>
      <c r="J206" s="363">
        <v>0.30502076877908318</v>
      </c>
      <c r="K206" s="363">
        <v>0.31559280269719842</v>
      </c>
      <c r="L206" s="398">
        <v>0.32335006339930994</v>
      </c>
      <c r="M206" s="314">
        <f t="shared" si="108"/>
        <v>5.8356097589748017E-2</v>
      </c>
      <c r="N206" s="316">
        <f t="shared" si="109"/>
        <v>5.3257330123943195E-2</v>
      </c>
      <c r="O206" s="362">
        <v>0</v>
      </c>
      <c r="P206" s="363">
        <v>0</v>
      </c>
      <c r="Q206" s="363">
        <v>6.2874800472748946E-2</v>
      </c>
      <c r="R206" s="363">
        <v>0.15064453755140941</v>
      </c>
      <c r="S206" s="363">
        <v>0.22118592809856338</v>
      </c>
      <c r="T206" s="363">
        <v>0.25918626412363044</v>
      </c>
      <c r="U206" s="363">
        <v>0.28440351340434983</v>
      </c>
      <c r="V206" s="363">
        <v>0.2987934367505799</v>
      </c>
      <c r="W206" s="363">
        <v>0.31063505326266588</v>
      </c>
      <c r="X206" s="363">
        <v>0.31559280269719842</v>
      </c>
      <c r="Y206" s="398">
        <v>0.32335006339930994</v>
      </c>
      <c r="Z206" s="314">
        <f t="shared" si="110"/>
        <v>0.20463809596687738</v>
      </c>
      <c r="AA206" s="316">
        <f t="shared" si="111"/>
        <v>0.18501862430637209</v>
      </c>
      <c r="AB206" s="1054">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1055">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334">
        <f>AB206*AH206+AC206*AI206</f>
        <v>0</v>
      </c>
      <c r="AE206" s="1043">
        <f t="shared" si="118"/>
        <v>5.8356097589748017E-2</v>
      </c>
      <c r="AF206" s="1043">
        <f t="shared" si="119"/>
        <v>0.20463809596687738</v>
      </c>
      <c r="AG206" s="1043">
        <f t="shared" si="120"/>
        <v>0.2629941935566254</v>
      </c>
      <c r="AH206" s="1280">
        <f t="shared" si="116"/>
        <v>0.22189120147697611</v>
      </c>
      <c r="AI206" s="1043">
        <f t="shared" si="117"/>
        <v>0.77810879852302384</v>
      </c>
      <c r="AJ206" s="245"/>
      <c r="AK206" s="245"/>
      <c r="AL206" s="245"/>
      <c r="AM206" s="245"/>
    </row>
    <row r="207" spans="1:48" x14ac:dyDescent="0.2">
      <c r="A207" s="348">
        <v>2034</v>
      </c>
      <c r="B207" s="362">
        <v>0</v>
      </c>
      <c r="C207" s="363">
        <v>0</v>
      </c>
      <c r="D207" s="363">
        <v>4.2923941506712165E-2</v>
      </c>
      <c r="E207" s="363">
        <v>0.15035738808982835</v>
      </c>
      <c r="F207" s="363">
        <v>0.21027027249773603</v>
      </c>
      <c r="G207" s="363">
        <v>0.25875285653301144</v>
      </c>
      <c r="H207" s="363">
        <v>0.27615490705617518</v>
      </c>
      <c r="I207" s="363">
        <v>0.29831978610208126</v>
      </c>
      <c r="J207" s="363">
        <v>0.3045417568723271</v>
      </c>
      <c r="K207" s="363">
        <v>0.31510511111995065</v>
      </c>
      <c r="L207" s="398">
        <v>0.32285634098744365</v>
      </c>
      <c r="M207" s="314">
        <f t="shared" si="108"/>
        <v>5.889430731476171E-2</v>
      </c>
      <c r="N207" s="316">
        <f t="shared" si="109"/>
        <v>5.3868304607309805E-2</v>
      </c>
      <c r="O207" s="362">
        <v>0</v>
      </c>
      <c r="P207" s="363">
        <v>0</v>
      </c>
      <c r="Q207" s="363">
        <v>7.0133146398782445E-2</v>
      </c>
      <c r="R207" s="363">
        <v>0.1598633586297549</v>
      </c>
      <c r="S207" s="363">
        <v>0.23043244191100626</v>
      </c>
      <c r="T207" s="363">
        <v>0.26733842059417301</v>
      </c>
      <c r="U207" s="363">
        <v>0.2839435869342169</v>
      </c>
      <c r="V207" s="363">
        <v>0.29831978610208126</v>
      </c>
      <c r="W207" s="363">
        <v>0.31015136586684966</v>
      </c>
      <c r="X207" s="363">
        <v>0.31510511111995065</v>
      </c>
      <c r="Y207" s="398">
        <v>0.32285634098744365</v>
      </c>
      <c r="Z207" s="314">
        <f t="shared" si="110"/>
        <v>0.20710022479038057</v>
      </c>
      <c r="AA207" s="316">
        <f t="shared" si="111"/>
        <v>0.1880403591689607</v>
      </c>
      <c r="AB207" s="1054">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1055">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334">
        <f t="shared" ref="AD207:AD223" si="121">AB207*AH207+AC207*AI207</f>
        <v>0</v>
      </c>
      <c r="AE207" s="1043">
        <f t="shared" si="118"/>
        <v>5.889430731476171E-2</v>
      </c>
      <c r="AF207" s="1043">
        <f t="shared" si="119"/>
        <v>0.20710022479038057</v>
      </c>
      <c r="AG207" s="1043">
        <f t="shared" si="120"/>
        <v>0.26599453210514229</v>
      </c>
      <c r="AH207" s="1280">
        <f t="shared" si="116"/>
        <v>0.22141172169464737</v>
      </c>
      <c r="AI207" s="1043">
        <f t="shared" si="117"/>
        <v>0.7785882783053526</v>
      </c>
      <c r="AJ207" s="245"/>
      <c r="AK207" s="245"/>
      <c r="AL207" s="245"/>
      <c r="AM207" s="245"/>
    </row>
    <row r="208" spans="1:48" ht="13.5" thickBot="1" x14ac:dyDescent="0.25">
      <c r="A208" s="346">
        <v>2035</v>
      </c>
      <c r="B208" s="364">
        <v>0</v>
      </c>
      <c r="C208" s="365">
        <v>0</v>
      </c>
      <c r="D208" s="365">
        <v>4.7476225280394829E-2</v>
      </c>
      <c r="E208" s="365">
        <v>0.15004707320578492</v>
      </c>
      <c r="F208" s="365">
        <v>0.2195723929231016</v>
      </c>
      <c r="G208" s="365">
        <v>0.25828255536027678</v>
      </c>
      <c r="H208" s="365">
        <v>0.27566357646304929</v>
      </c>
      <c r="I208" s="365">
        <v>0.29780489186717052</v>
      </c>
      <c r="J208" s="365">
        <v>0.30962523537233794</v>
      </c>
      <c r="K208" s="365">
        <v>0.31457448442010638</v>
      </c>
      <c r="L208" s="399">
        <v>0.32231892567967269</v>
      </c>
      <c r="M208" s="328">
        <f t="shared" si="108"/>
        <v>5.9209193235241792E-2</v>
      </c>
      <c r="N208" s="330">
        <f t="shared" si="109"/>
        <v>5.4277668881399746E-2</v>
      </c>
      <c r="O208" s="364">
        <v>0</v>
      </c>
      <c r="P208" s="365">
        <v>1.028499699911604E-4</v>
      </c>
      <c r="Q208" s="365">
        <v>7.6518986866361785E-2</v>
      </c>
      <c r="R208" s="365">
        <v>0.17146267302820345</v>
      </c>
      <c r="S208" s="365">
        <v>0.2299987568397856</v>
      </c>
      <c r="T208" s="365">
        <v>0.26823899715069321</v>
      </c>
      <c r="U208" s="365">
        <v>0.28344395178279047</v>
      </c>
      <c r="V208" s="365">
        <v>0.30402086630544678</v>
      </c>
      <c r="W208" s="365">
        <v>0.30962523537233794</v>
      </c>
      <c r="X208" s="365">
        <v>0.31457448442010638</v>
      </c>
      <c r="Y208" s="399">
        <v>0.32231892567967269</v>
      </c>
      <c r="Z208" s="328">
        <f t="shared" si="110"/>
        <v>0.20809416659014426</v>
      </c>
      <c r="AA208" s="330">
        <f t="shared" si="111"/>
        <v>0.18927820606678644</v>
      </c>
      <c r="AB208" s="1054">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1055">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334">
        <f t="shared" si="121"/>
        <v>0</v>
      </c>
      <c r="AE208" s="1043">
        <f t="shared" si="118"/>
        <v>5.9209193235241792E-2</v>
      </c>
      <c r="AF208" s="1043">
        <f t="shared" si="119"/>
        <v>0.20809416659014426</v>
      </c>
      <c r="AG208" s="1043">
        <f t="shared" si="120"/>
        <v>0.26730335982538606</v>
      </c>
      <c r="AH208" s="1280">
        <f t="shared" si="116"/>
        <v>0.22150560798756799</v>
      </c>
      <c r="AI208" s="1043">
        <f t="shared" si="117"/>
        <v>0.77849439201243198</v>
      </c>
      <c r="AJ208" s="245"/>
      <c r="AK208" s="245"/>
      <c r="AL208" s="245"/>
      <c r="AM208" s="245"/>
    </row>
    <row r="209" spans="1:39" x14ac:dyDescent="0.2">
      <c r="A209" s="347">
        <v>2036</v>
      </c>
      <c r="B209" s="360">
        <v>0</v>
      </c>
      <c r="C209" s="361">
        <v>0</v>
      </c>
      <c r="D209" s="361">
        <v>5.1436879524485578E-2</v>
      </c>
      <c r="E209" s="361">
        <v>0.15940033655542241</v>
      </c>
      <c r="F209" s="361">
        <v>0.22156555520672508</v>
      </c>
      <c r="G209" s="361">
        <v>0.25808437856106448</v>
      </c>
      <c r="H209" s="361">
        <v>0.28323338286420435</v>
      </c>
      <c r="I209" s="361">
        <v>0.29758787291098954</v>
      </c>
      <c r="J209" s="361">
        <v>0.30940346299494753</v>
      </c>
      <c r="K209" s="361">
        <v>0.31435080932998366</v>
      </c>
      <c r="L209" s="397">
        <v>0.32206143583650898</v>
      </c>
      <c r="M209" s="300">
        <f t="shared" si="108"/>
        <v>6.0035935656495398E-2</v>
      </c>
      <c r="N209" s="302">
        <f t="shared" si="109"/>
        <v>5.5195831926365242E-2</v>
      </c>
      <c r="O209" s="360">
        <v>0</v>
      </c>
      <c r="P209" s="361">
        <v>1.2013832027341466E-4</v>
      </c>
      <c r="Q209" s="361">
        <v>7.6446521346185584E-2</v>
      </c>
      <c r="R209" s="361">
        <v>0.17131677392074088</v>
      </c>
      <c r="S209" s="361">
        <v>0.2298160387778293</v>
      </c>
      <c r="T209" s="361">
        <v>0.26803540800093784</v>
      </c>
      <c r="U209" s="361">
        <v>0.29052783054974635</v>
      </c>
      <c r="V209" s="361">
        <v>0.30380131090636325</v>
      </c>
      <c r="W209" s="361">
        <v>0.30940346299494753</v>
      </c>
      <c r="X209" s="361">
        <v>0.31859742202088936</v>
      </c>
      <c r="Y209" s="397">
        <v>0.32193665943883393</v>
      </c>
      <c r="Z209" s="300">
        <f t="shared" si="110"/>
        <v>0.2098190619063427</v>
      </c>
      <c r="AA209" s="302">
        <f t="shared" si="111"/>
        <v>0.19077643825922888</v>
      </c>
      <c r="AB209" s="1054">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1055">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334">
        <f t="shared" si="121"/>
        <v>0</v>
      </c>
      <c r="AE209" s="1043">
        <f t="shared" si="118"/>
        <v>6.0035935656495398E-2</v>
      </c>
      <c r="AF209" s="1043">
        <f t="shared" si="119"/>
        <v>0.2098190619063427</v>
      </c>
      <c r="AG209" s="1043">
        <f t="shared" si="120"/>
        <v>0.26985499756283809</v>
      </c>
      <c r="AH209" s="1280">
        <f t="shared" si="116"/>
        <v>0.22247479645995996</v>
      </c>
      <c r="AI209" s="1043">
        <f t="shared" si="117"/>
        <v>0.77752520354004007</v>
      </c>
      <c r="AJ209" s="245"/>
      <c r="AK209" s="245"/>
      <c r="AL209" s="245"/>
      <c r="AM209" s="245"/>
    </row>
    <row r="210" spans="1:39" x14ac:dyDescent="0.2">
      <c r="A210" s="348">
        <v>2037</v>
      </c>
      <c r="B210" s="362">
        <v>0</v>
      </c>
      <c r="C210" s="363">
        <v>0</v>
      </c>
      <c r="D210" s="363">
        <v>5.138544475527166E-2</v>
      </c>
      <c r="E210" s="363">
        <v>0.15925934852701115</v>
      </c>
      <c r="F210" s="363">
        <v>0.22138239993904302</v>
      </c>
      <c r="G210" s="363">
        <v>0.25788052398363581</v>
      </c>
      <c r="H210" s="363">
        <v>0.2830167083896179</v>
      </c>
      <c r="I210" s="363">
        <v>0.29736451586903284</v>
      </c>
      <c r="J210" s="363">
        <v>0.30917517146603291</v>
      </c>
      <c r="K210" s="363">
        <v>0.31412054093420683</v>
      </c>
      <c r="L210" s="398">
        <v>0.3217273332208247</v>
      </c>
      <c r="M210" s="314">
        <f t="shared" si="108"/>
        <v>5.9987838909471763E-2</v>
      </c>
      <c r="N210" s="316">
        <f t="shared" si="109"/>
        <v>5.515168679722348E-2</v>
      </c>
      <c r="O210" s="362">
        <v>0</v>
      </c>
      <c r="P210" s="363">
        <v>1.2000973388885513E-4</v>
      </c>
      <c r="Q210" s="363">
        <v>7.6372130169086908E-2</v>
      </c>
      <c r="R210" s="363">
        <v>0.17116684883783997</v>
      </c>
      <c r="S210" s="363">
        <v>0.22962815217875196</v>
      </c>
      <c r="T210" s="363">
        <v>0.26782596250313756</v>
      </c>
      <c r="U210" s="363">
        <v>0.29030786361438415</v>
      </c>
      <c r="V210" s="363">
        <v>0.3035753215087319</v>
      </c>
      <c r="W210" s="363">
        <v>0.30917517146603291</v>
      </c>
      <c r="X210" s="363">
        <v>0.31836546809485866</v>
      </c>
      <c r="Y210" s="398">
        <v>0.32136855946614479</v>
      </c>
      <c r="Z210" s="314">
        <f t="shared" si="110"/>
        <v>0.20964135761702168</v>
      </c>
      <c r="AA210" s="316">
        <f t="shared" si="111"/>
        <v>0.19061997526657173</v>
      </c>
      <c r="AB210" s="1054">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1055">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334">
        <f t="shared" si="121"/>
        <v>0</v>
      </c>
      <c r="AE210" s="1043">
        <f t="shared" si="118"/>
        <v>5.9987838909471763E-2</v>
      </c>
      <c r="AF210" s="1043">
        <f t="shared" si="119"/>
        <v>0.20964135761702168</v>
      </c>
      <c r="AG210" s="1043">
        <f t="shared" si="120"/>
        <v>0.26962919652649342</v>
      </c>
      <c r="AH210" s="1280">
        <f t="shared" si="116"/>
        <v>0.22248272695341223</v>
      </c>
      <c r="AI210" s="1043">
        <f t="shared" si="117"/>
        <v>0.77751727304658791</v>
      </c>
      <c r="AJ210" s="245"/>
      <c r="AK210" s="245"/>
      <c r="AL210" s="245"/>
      <c r="AM210" s="245"/>
    </row>
    <row r="211" spans="1:39" x14ac:dyDescent="0.2">
      <c r="A211" s="348">
        <v>2038</v>
      </c>
      <c r="B211" s="362">
        <v>0</v>
      </c>
      <c r="C211" s="363">
        <v>0</v>
      </c>
      <c r="D211" s="363">
        <v>5.1332911225967101E-2</v>
      </c>
      <c r="E211" s="363">
        <v>0.15911526847810295</v>
      </c>
      <c r="F211" s="363">
        <v>0.2211951693036506</v>
      </c>
      <c r="G211" s="363">
        <v>0.25767208891100857</v>
      </c>
      <c r="H211" s="363">
        <v>0.28279513164333497</v>
      </c>
      <c r="I211" s="363">
        <v>0.29713608446441281</v>
      </c>
      <c r="J211" s="363">
        <v>0.30894167419783314</v>
      </c>
      <c r="K211" s="363">
        <v>0.3138850134428614</v>
      </c>
      <c r="L211" s="398">
        <v>0.32063991508401496</v>
      </c>
      <c r="M211" s="314">
        <f t="shared" si="108"/>
        <v>5.9926761298429228E-2</v>
      </c>
      <c r="N211" s="316">
        <f t="shared" si="109"/>
        <v>5.5100944060316071E-2</v>
      </c>
      <c r="O211" s="362">
        <v>0</v>
      </c>
      <c r="P211" s="363">
        <v>1.4518108114106246E-4</v>
      </c>
      <c r="Q211" s="363">
        <v>7.6296140515530783E-2</v>
      </c>
      <c r="R211" s="363">
        <v>0.17101362825000294</v>
      </c>
      <c r="S211" s="363">
        <v>0.22943592459383766</v>
      </c>
      <c r="T211" s="363">
        <v>0.26761053394093831</v>
      </c>
      <c r="U211" s="363">
        <v>0.29069372158873008</v>
      </c>
      <c r="V211" s="363">
        <v>0.30333670121136547</v>
      </c>
      <c r="W211" s="363">
        <v>0.30892976281925588</v>
      </c>
      <c r="X211" s="363">
        <v>0.31801877368930537</v>
      </c>
      <c r="Y211" s="398">
        <v>0.31976175108985277</v>
      </c>
      <c r="Z211" s="314">
        <f t="shared" si="110"/>
        <v>0.2095481645994377</v>
      </c>
      <c r="AA211" s="316">
        <f t="shared" si="111"/>
        <v>0.19056084406319684</v>
      </c>
      <c r="AB211" s="1054">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1055">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334">
        <f t="shared" si="121"/>
        <v>0</v>
      </c>
      <c r="AE211" s="1043">
        <f t="shared" si="118"/>
        <v>5.9926761298429228E-2</v>
      </c>
      <c r="AF211" s="1043">
        <f t="shared" si="119"/>
        <v>0.2095481645994377</v>
      </c>
      <c r="AG211" s="1043">
        <f t="shared" si="120"/>
        <v>0.26947492589786692</v>
      </c>
      <c r="AH211" s="1280">
        <f t="shared" si="116"/>
        <v>0.22238344105210714</v>
      </c>
      <c r="AI211" s="1043">
        <f t="shared" si="117"/>
        <v>0.77761655894789294</v>
      </c>
      <c r="AJ211" s="245"/>
      <c r="AK211" s="245"/>
      <c r="AL211" s="245"/>
      <c r="AM211" s="245"/>
    </row>
    <row r="212" spans="1:39" x14ac:dyDescent="0.2">
      <c r="A212" s="348">
        <v>2039</v>
      </c>
      <c r="B212" s="362">
        <v>0</v>
      </c>
      <c r="C212" s="363">
        <v>0</v>
      </c>
      <c r="D212" s="363">
        <v>5.1279361776049033E-2</v>
      </c>
      <c r="E212" s="363">
        <v>0.15896835015732441</v>
      </c>
      <c r="F212" s="363">
        <v>0.22092866844826337</v>
      </c>
      <c r="G212" s="363">
        <v>0.256188118189836</v>
      </c>
      <c r="H212" s="363">
        <v>0.27814674553851415</v>
      </c>
      <c r="I212" s="363">
        <v>0.28574599471850781</v>
      </c>
      <c r="J212" s="363">
        <v>0.2886257828228328</v>
      </c>
      <c r="K212" s="363">
        <v>0.28349957549785787</v>
      </c>
      <c r="L212" s="398">
        <v>0.27144685294718263</v>
      </c>
      <c r="M212" s="314">
        <f t="shared" si="108"/>
        <v>5.7941204096308208E-2</v>
      </c>
      <c r="N212" s="316">
        <f t="shared" si="109"/>
        <v>5.3798467441936886E-2</v>
      </c>
      <c r="O212" s="362">
        <v>0</v>
      </c>
      <c r="P212" s="363">
        <v>1.5015450077347997E-4</v>
      </c>
      <c r="Q212" s="363">
        <v>8.3108348910491833E-2</v>
      </c>
      <c r="R212" s="363">
        <v>0.17085463310365728</v>
      </c>
      <c r="S212" s="363">
        <v>0.23862357812905791</v>
      </c>
      <c r="T212" s="363">
        <v>0.26736471745641449</v>
      </c>
      <c r="U212" s="363">
        <v>0.29042381226906744</v>
      </c>
      <c r="V212" s="363">
        <v>0.30305151826597604</v>
      </c>
      <c r="W212" s="363">
        <v>0.30856260174270239</v>
      </c>
      <c r="X212" s="363">
        <v>0.31703407841543668</v>
      </c>
      <c r="Y212" s="398">
        <v>0.31619890082945629</v>
      </c>
      <c r="Z212" s="314">
        <f t="shared" si="110"/>
        <v>0.21002640512177775</v>
      </c>
      <c r="AA212" s="316">
        <f t="shared" si="111"/>
        <v>0.19143030243372122</v>
      </c>
      <c r="AB212" s="1054">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1055">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334">
        <f t="shared" si="121"/>
        <v>0</v>
      </c>
      <c r="AE212" s="1043">
        <f t="shared" si="118"/>
        <v>5.7941204096308208E-2</v>
      </c>
      <c r="AF212" s="1043">
        <f t="shared" si="119"/>
        <v>0.21002640512177775</v>
      </c>
      <c r="AG212" s="1043">
        <f t="shared" si="120"/>
        <v>0.26796760921808593</v>
      </c>
      <c r="AH212" s="1280">
        <f t="shared" si="116"/>
        <v>0.21622465590291792</v>
      </c>
      <c r="AI212" s="1043">
        <f t="shared" si="117"/>
        <v>0.78377534409708216</v>
      </c>
      <c r="AJ212" s="245"/>
      <c r="AK212" s="245"/>
      <c r="AL212" s="245"/>
      <c r="AM212" s="245"/>
    </row>
    <row r="213" spans="1:39" ht="13.5" thickBot="1" x14ac:dyDescent="0.25">
      <c r="A213" s="346">
        <v>2040</v>
      </c>
      <c r="B213" s="364">
        <v>0</v>
      </c>
      <c r="C213" s="365">
        <v>0</v>
      </c>
      <c r="D213" s="365">
        <v>5.7653399850589024E-2</v>
      </c>
      <c r="E213" s="365">
        <v>0.15757041219574844</v>
      </c>
      <c r="F213" s="365">
        <v>0.21233441862024285</v>
      </c>
      <c r="G213" s="365">
        <v>0.24403717229683164</v>
      </c>
      <c r="H213" s="365">
        <v>0.25196675265940216</v>
      </c>
      <c r="I213" s="365">
        <v>0.25392761349029674</v>
      </c>
      <c r="J213" s="365">
        <v>0.25487451375565634</v>
      </c>
      <c r="K213" s="365">
        <v>0.25405599053591793</v>
      </c>
      <c r="L213" s="399">
        <v>0.24929753771918464</v>
      </c>
      <c r="M213" s="328">
        <f t="shared" si="108"/>
        <v>5.3347689627712039E-2</v>
      </c>
      <c r="N213" s="330">
        <f t="shared" si="109"/>
        <v>4.9962516705199439E-2</v>
      </c>
      <c r="O213" s="364">
        <v>0</v>
      </c>
      <c r="P213" s="365">
        <v>1.8127941940258179E-4</v>
      </c>
      <c r="Q213" s="365">
        <v>8.3019316695985626E-2</v>
      </c>
      <c r="R213" s="365">
        <v>0.17066922374785309</v>
      </c>
      <c r="S213" s="365">
        <v>0.23835887434967723</v>
      </c>
      <c r="T213" s="365">
        <v>0.27527420722042517</v>
      </c>
      <c r="U213" s="365">
        <v>0.29009958523305618</v>
      </c>
      <c r="V213" s="365">
        <v>0.30258322276726085</v>
      </c>
      <c r="W213" s="365">
        <v>0.30726055770396465</v>
      </c>
      <c r="X213" s="365">
        <v>0.31392387135615768</v>
      </c>
      <c r="Y213" s="399">
        <v>0.30882904852169663</v>
      </c>
      <c r="Z213" s="328">
        <f t="shared" si="110"/>
        <v>0.21078893976113999</v>
      </c>
      <c r="AA213" s="330">
        <f t="shared" si="111"/>
        <v>0.19247180838373967</v>
      </c>
      <c r="AB213" s="1054">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1055">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334">
        <f t="shared" si="121"/>
        <v>0</v>
      </c>
      <c r="AE213" s="1043">
        <f t="shared" si="118"/>
        <v>5.3347689627712039E-2</v>
      </c>
      <c r="AF213" s="1043">
        <f t="shared" si="119"/>
        <v>0.21078893976113999</v>
      </c>
      <c r="AG213" s="1043">
        <f t="shared" si="120"/>
        <v>0.26413662938885202</v>
      </c>
      <c r="AH213" s="1280">
        <f t="shared" si="116"/>
        <v>0.20197005523673725</v>
      </c>
      <c r="AI213" s="1043">
        <f t="shared" si="117"/>
        <v>0.79802994476326283</v>
      </c>
      <c r="AJ213" s="245"/>
      <c r="AK213" s="245"/>
      <c r="AL213" s="245"/>
      <c r="AM213" s="245"/>
    </row>
    <row r="214" spans="1:39" x14ac:dyDescent="0.2">
      <c r="A214" s="347">
        <v>2041</v>
      </c>
      <c r="B214" s="360">
        <v>0</v>
      </c>
      <c r="C214" s="361">
        <v>0</v>
      </c>
      <c r="D214" s="361">
        <v>5.7207547205109753E-2</v>
      </c>
      <c r="E214" s="361">
        <v>0.14945823835314931</v>
      </c>
      <c r="F214" s="361">
        <v>0.19627693809515973</v>
      </c>
      <c r="G214" s="361">
        <v>0.22558180323474886</v>
      </c>
      <c r="H214" s="361">
        <v>0.23147323903288858</v>
      </c>
      <c r="I214" s="361">
        <v>0.23726159363682481</v>
      </c>
      <c r="J214" s="361">
        <v>0.24039084378513861</v>
      </c>
      <c r="K214" s="361">
        <v>0.24096338882105825</v>
      </c>
      <c r="L214" s="397">
        <v>0.23617120852732049</v>
      </c>
      <c r="M214" s="300">
        <f t="shared" si="108"/>
        <v>4.9561079386072869E-2</v>
      </c>
      <c r="N214" s="302">
        <f t="shared" si="109"/>
        <v>4.6404639630026001E-2</v>
      </c>
      <c r="O214" s="360">
        <v>0</v>
      </c>
      <c r="P214" s="361">
        <v>1.8106932202328966E-4</v>
      </c>
      <c r="Q214" s="361">
        <v>8.2911266417217883E-2</v>
      </c>
      <c r="R214" s="361">
        <v>0.17042888770479711</v>
      </c>
      <c r="S214" s="361">
        <v>0.23801824419843085</v>
      </c>
      <c r="T214" s="361">
        <v>0.27486198806194018</v>
      </c>
      <c r="U214" s="361">
        <v>0.2893986520869013</v>
      </c>
      <c r="V214" s="361">
        <v>0.30049476785611906</v>
      </c>
      <c r="W214" s="361">
        <v>0.30284261656439271</v>
      </c>
      <c r="X214" s="361">
        <v>0.30608542687232332</v>
      </c>
      <c r="Y214" s="397">
        <v>0.29970029043274088</v>
      </c>
      <c r="Z214" s="300">
        <f t="shared" si="110"/>
        <v>0.20944090700517584</v>
      </c>
      <c r="AA214" s="302">
        <f t="shared" si="111"/>
        <v>0.19155027128396207</v>
      </c>
      <c r="AB214" s="1054">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1055">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334">
        <f t="shared" si="121"/>
        <v>0</v>
      </c>
      <c r="AE214" s="1043">
        <f t="shared" si="118"/>
        <v>4.9561079386072869E-2</v>
      </c>
      <c r="AF214" s="1043">
        <f t="shared" si="119"/>
        <v>0.20944090700517584</v>
      </c>
      <c r="AG214" s="1043">
        <f t="shared" si="120"/>
        <v>0.25900198639124872</v>
      </c>
      <c r="AH214" s="1280">
        <f t="shared" si="116"/>
        <v>0.19135405128208494</v>
      </c>
      <c r="AI214" s="1043">
        <f t="shared" si="117"/>
        <v>0.80864594871791506</v>
      </c>
      <c r="AJ214" s="245"/>
      <c r="AK214" s="245"/>
      <c r="AL214" s="245"/>
      <c r="AM214" s="245"/>
    </row>
    <row r="215" spans="1:39" x14ac:dyDescent="0.2">
      <c r="A215" s="348">
        <v>2042</v>
      </c>
      <c r="B215" s="362">
        <v>0</v>
      </c>
      <c r="C215" s="363">
        <v>0</v>
      </c>
      <c r="D215" s="363">
        <v>5.4956555450611067E-2</v>
      </c>
      <c r="E215" s="363">
        <v>0.13769993477636711</v>
      </c>
      <c r="F215" s="363">
        <v>0.18108027693839224</v>
      </c>
      <c r="G215" s="363">
        <v>0.21220626191629438</v>
      </c>
      <c r="H215" s="363">
        <v>0.22002857040806315</v>
      </c>
      <c r="I215" s="363">
        <v>0.22683542083331809</v>
      </c>
      <c r="J215" s="363">
        <v>0.23003343416532396</v>
      </c>
      <c r="K215" s="363">
        <v>0.22790250273766532</v>
      </c>
      <c r="L215" s="398">
        <v>0.22606372075865699</v>
      </c>
      <c r="M215" s="314">
        <f t="shared" si="108"/>
        <v>4.6855703217456621E-2</v>
      </c>
      <c r="N215" s="316">
        <f t="shared" si="109"/>
        <v>4.3732978657897423E-2</v>
      </c>
      <c r="O215" s="362">
        <v>0</v>
      </c>
      <c r="P215" s="363">
        <v>1.7445856475061775E-4</v>
      </c>
      <c r="Q215" s="363">
        <v>8.2755026277968283E-2</v>
      </c>
      <c r="R215" s="363">
        <v>0.17008496551750799</v>
      </c>
      <c r="S215" s="363">
        <v>0.23733632571708294</v>
      </c>
      <c r="T215" s="363">
        <v>0.27265393425364398</v>
      </c>
      <c r="U215" s="363">
        <v>0.28482987944601046</v>
      </c>
      <c r="V215" s="363">
        <v>0.29208653603887663</v>
      </c>
      <c r="W215" s="363">
        <v>0.29153975394125409</v>
      </c>
      <c r="X215" s="363">
        <v>0.29400607999326195</v>
      </c>
      <c r="Y215" s="398">
        <v>0.28542652984384542</v>
      </c>
      <c r="Z215" s="314">
        <f t="shared" si="110"/>
        <v>0.20559675937248648</v>
      </c>
      <c r="AA215" s="316">
        <f t="shared" si="111"/>
        <v>0.18860506154652049</v>
      </c>
      <c r="AB215" s="1054">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1055">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334">
        <f t="shared" si="121"/>
        <v>0</v>
      </c>
      <c r="AE215" s="1043">
        <f t="shared" si="118"/>
        <v>4.6855703217456621E-2</v>
      </c>
      <c r="AF215" s="1043">
        <f t="shared" si="119"/>
        <v>0.20559675937248648</v>
      </c>
      <c r="AG215" s="1043">
        <f t="shared" si="120"/>
        <v>0.25245246258994308</v>
      </c>
      <c r="AH215" s="1280">
        <f t="shared" si="116"/>
        <v>0.18560208419738825</v>
      </c>
      <c r="AI215" s="1043">
        <f t="shared" si="117"/>
        <v>0.81439791580261178</v>
      </c>
      <c r="AJ215" s="245"/>
      <c r="AK215" s="245"/>
      <c r="AL215" s="245"/>
      <c r="AM215" s="245"/>
    </row>
    <row r="216" spans="1:39" x14ac:dyDescent="0.2">
      <c r="A216" s="348">
        <v>2043</v>
      </c>
      <c r="B216" s="362">
        <v>0</v>
      </c>
      <c r="C216" s="363">
        <v>0</v>
      </c>
      <c r="D216" s="363">
        <v>5.1890471360936809E-2</v>
      </c>
      <c r="E216" s="363">
        <v>0.13013367791401467</v>
      </c>
      <c r="F216" s="363">
        <v>0.17265323211887715</v>
      </c>
      <c r="G216" s="363">
        <v>0.2036599333420176</v>
      </c>
      <c r="H216" s="363">
        <v>0.21014036372989206</v>
      </c>
      <c r="I216" s="363">
        <v>0.21516479057124141</v>
      </c>
      <c r="J216" s="363">
        <v>0.21981001082068216</v>
      </c>
      <c r="K216" s="363">
        <v>0.2194438889153871</v>
      </c>
      <c r="L216" s="398">
        <v>0.21854231621538597</v>
      </c>
      <c r="M216" s="314">
        <f t="shared" si="108"/>
        <v>4.4743829745182734E-2</v>
      </c>
      <c r="N216" s="316">
        <f t="shared" si="109"/>
        <v>4.1725287584382084E-2</v>
      </c>
      <c r="O216" s="362">
        <v>0</v>
      </c>
      <c r="P216" s="363">
        <v>1.7420292965549336E-4</v>
      </c>
      <c r="Q216" s="363">
        <v>8.2531263099732161E-2</v>
      </c>
      <c r="R216" s="363">
        <v>0.16865627559626697</v>
      </c>
      <c r="S216" s="363">
        <v>0.23260626857686292</v>
      </c>
      <c r="T216" s="363">
        <v>0.26353291808334101</v>
      </c>
      <c r="U216" s="363">
        <v>0.27318454523236463</v>
      </c>
      <c r="V216" s="363">
        <v>0.27914373350349964</v>
      </c>
      <c r="W216" s="363">
        <v>0.27892285633095454</v>
      </c>
      <c r="X216" s="363">
        <v>0.28137750117658838</v>
      </c>
      <c r="Y216" s="398">
        <v>0.275802355929123</v>
      </c>
      <c r="Z216" s="314">
        <f t="shared" si="110"/>
        <v>0.1981788441978983</v>
      </c>
      <c r="AA216" s="316">
        <f t="shared" si="111"/>
        <v>0.18213733095911874</v>
      </c>
      <c r="AB216" s="1054">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1055">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334">
        <f t="shared" si="121"/>
        <v>0</v>
      </c>
      <c r="AE216" s="1043">
        <f t="shared" si="118"/>
        <v>4.4743829745182734E-2</v>
      </c>
      <c r="AF216" s="1043">
        <f t="shared" si="119"/>
        <v>0.1981788441978983</v>
      </c>
      <c r="AG216" s="1043">
        <f t="shared" si="120"/>
        <v>0.24292267394308104</v>
      </c>
      <c r="AH216" s="1280">
        <f t="shared" si="116"/>
        <v>0.18418959835616916</v>
      </c>
      <c r="AI216" s="1043">
        <f t="shared" si="117"/>
        <v>0.8158104016438309</v>
      </c>
      <c r="AJ216" s="245"/>
      <c r="AK216" s="245"/>
      <c r="AL216" s="245"/>
      <c r="AM216" s="245"/>
    </row>
    <row r="217" spans="1:39" x14ac:dyDescent="0.2">
      <c r="A217" s="348">
        <v>2044</v>
      </c>
      <c r="B217" s="362">
        <v>0</v>
      </c>
      <c r="C217" s="363">
        <v>0</v>
      </c>
      <c r="D217" s="363">
        <v>4.3982977238502294E-2</v>
      </c>
      <c r="E217" s="363">
        <v>0.1224683379255455</v>
      </c>
      <c r="F217" s="363">
        <v>0.16374103219652034</v>
      </c>
      <c r="G217" s="363">
        <v>0.18553907276222878</v>
      </c>
      <c r="H217" s="363">
        <v>0.20187487274256979</v>
      </c>
      <c r="I217" s="363">
        <v>0.2068318152248281</v>
      </c>
      <c r="J217" s="363">
        <v>0.21075465546845179</v>
      </c>
      <c r="K217" s="363">
        <v>0.2114282286061874</v>
      </c>
      <c r="L217" s="398">
        <v>0.21234088063765605</v>
      </c>
      <c r="M217" s="314">
        <f t="shared" si="108"/>
        <v>4.2601669508748635E-2</v>
      </c>
      <c r="N217" s="316">
        <f t="shared" si="109"/>
        <v>3.9595017976617429E-2</v>
      </c>
      <c r="O217" s="362">
        <v>0</v>
      </c>
      <c r="P217" s="363">
        <v>1.8021219124226835E-4</v>
      </c>
      <c r="Q217" s="363">
        <v>8.1798847465153868E-2</v>
      </c>
      <c r="R217" s="363">
        <v>0.16307868205953838</v>
      </c>
      <c r="S217" s="363">
        <v>0.22283860698681252</v>
      </c>
      <c r="T217" s="363">
        <v>0.24458467211494883</v>
      </c>
      <c r="U217" s="363">
        <v>0.26113854660298652</v>
      </c>
      <c r="V217" s="363">
        <v>0.26699963188217818</v>
      </c>
      <c r="W217" s="363">
        <v>0.2679104322476174</v>
      </c>
      <c r="X217" s="363">
        <v>0.26971856043667358</v>
      </c>
      <c r="Y217" s="398">
        <v>0.26848436011818705</v>
      </c>
      <c r="Z217" s="314">
        <f t="shared" si="110"/>
        <v>0.18857936193977559</v>
      </c>
      <c r="AA217" s="316">
        <f t="shared" si="111"/>
        <v>0.17315899305296953</v>
      </c>
      <c r="AB217" s="1054">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1055">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334">
        <f t="shared" si="121"/>
        <v>0</v>
      </c>
      <c r="AE217" s="1043">
        <f t="shared" si="118"/>
        <v>4.2601669508748635E-2</v>
      </c>
      <c r="AF217" s="1043">
        <f t="shared" si="119"/>
        <v>0.18857936193977559</v>
      </c>
      <c r="AG217" s="1043">
        <f t="shared" si="120"/>
        <v>0.23118103144852423</v>
      </c>
      <c r="AH217" s="1280">
        <f t="shared" si="116"/>
        <v>0.18427839534159404</v>
      </c>
      <c r="AI217" s="1043">
        <f t="shared" si="117"/>
        <v>0.81572160465840593</v>
      </c>
      <c r="AJ217" s="245"/>
      <c r="AK217" s="245"/>
      <c r="AL217" s="245"/>
      <c r="AM217" s="245"/>
    </row>
    <row r="218" spans="1:39" ht="13.5" thickBot="1" x14ac:dyDescent="0.25">
      <c r="A218" s="346">
        <v>2045</v>
      </c>
      <c r="B218" s="364">
        <v>0</v>
      </c>
      <c r="C218" s="365">
        <v>0</v>
      </c>
      <c r="D218" s="365">
        <v>4.078078522314265E-2</v>
      </c>
      <c r="E218" s="365">
        <v>0.1146521585500085</v>
      </c>
      <c r="F218" s="365">
        <v>0.15511709006545787</v>
      </c>
      <c r="G218" s="365">
        <v>0.17762631347740132</v>
      </c>
      <c r="H218" s="365">
        <v>0.19294480727799065</v>
      </c>
      <c r="I218" s="365">
        <v>0.19878537015664879</v>
      </c>
      <c r="J218" s="365">
        <v>0.20464156714497553</v>
      </c>
      <c r="K218" s="365">
        <v>0.20538019895325518</v>
      </c>
      <c r="L218" s="399">
        <v>0.20917638847095746</v>
      </c>
      <c r="M218" s="328">
        <f t="shared" si="108"/>
        <v>4.0818277214016999E-2</v>
      </c>
      <c r="N218" s="330">
        <f t="shared" si="109"/>
        <v>3.7817972687393862E-2</v>
      </c>
      <c r="O218" s="364">
        <v>0</v>
      </c>
      <c r="P218" s="365">
        <v>1.7947087443998891E-4</v>
      </c>
      <c r="Q218" s="365">
        <v>7.952529407925843E-2</v>
      </c>
      <c r="R218" s="365">
        <v>0.15439630784605979</v>
      </c>
      <c r="S218" s="365">
        <v>0.2117847083004385</v>
      </c>
      <c r="T218" s="365">
        <v>0.24046130186711437</v>
      </c>
      <c r="U218" s="365">
        <v>0.25010836956019139</v>
      </c>
      <c r="V218" s="365">
        <v>0.2574033001553348</v>
      </c>
      <c r="W218" s="365">
        <v>0.25814427620373304</v>
      </c>
      <c r="X218" s="365">
        <v>0.2621032553237852</v>
      </c>
      <c r="Y218" s="399">
        <v>0.26110006599857338</v>
      </c>
      <c r="Z218" s="328">
        <f t="shared" si="110"/>
        <v>0.18209270731801794</v>
      </c>
      <c r="AA218" s="330">
        <f t="shared" si="111"/>
        <v>0.16709067777490622</v>
      </c>
      <c r="AB218" s="1054">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1055">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334">
        <f t="shared" si="121"/>
        <v>0</v>
      </c>
      <c r="AE218" s="1043">
        <f t="shared" si="118"/>
        <v>4.0818277214016999E-2</v>
      </c>
      <c r="AF218" s="1043">
        <f t="shared" si="119"/>
        <v>0.18209270731801794</v>
      </c>
      <c r="AG218" s="1043">
        <f t="shared" si="120"/>
        <v>0.22291098453203495</v>
      </c>
      <c r="AH218" s="1280">
        <f t="shared" si="116"/>
        <v>0.18311469620803245</v>
      </c>
      <c r="AI218" s="1043">
        <f t="shared" si="117"/>
        <v>0.81688530379196744</v>
      </c>
      <c r="AJ218" s="245"/>
      <c r="AK218" s="245"/>
      <c r="AL218" s="245"/>
      <c r="AM218" s="245"/>
    </row>
    <row r="219" spans="1:39" x14ac:dyDescent="0.2">
      <c r="A219" s="347">
        <v>2046</v>
      </c>
      <c r="B219" s="360">
        <v>0</v>
      </c>
      <c r="C219" s="361">
        <v>0</v>
      </c>
      <c r="D219" s="361">
        <v>3.8615838226871826E-2</v>
      </c>
      <c r="E219" s="361">
        <v>0.10984656365063335</v>
      </c>
      <c r="F219" s="361">
        <v>0.15023270541032727</v>
      </c>
      <c r="G219" s="361">
        <v>0.17311106636181345</v>
      </c>
      <c r="H219" s="361">
        <v>0.18817260959566906</v>
      </c>
      <c r="I219" s="361">
        <v>0.19589477536762936</v>
      </c>
      <c r="J219" s="361">
        <v>0.20165102742325985</v>
      </c>
      <c r="K219" s="361">
        <v>0.20239952072290279</v>
      </c>
      <c r="L219" s="397">
        <v>0.20429792330342708</v>
      </c>
      <c r="M219" s="300">
        <f t="shared" si="108"/>
        <v>3.9833398942709035E-2</v>
      </c>
      <c r="N219" s="302">
        <f t="shared" si="109"/>
        <v>3.683898858151867E-2</v>
      </c>
      <c r="O219" s="360">
        <v>0</v>
      </c>
      <c r="P219" s="361">
        <v>1.4776358079039766E-4</v>
      </c>
      <c r="Q219" s="361">
        <v>7.6930490542475402E-2</v>
      </c>
      <c r="R219" s="361">
        <v>0.14862078720847297</v>
      </c>
      <c r="S219" s="361">
        <v>0.19706111317391384</v>
      </c>
      <c r="T219" s="361">
        <v>0.22586971315026547</v>
      </c>
      <c r="U219" s="361">
        <v>0.24458455540892418</v>
      </c>
      <c r="V219" s="361">
        <v>0.25175419835822777</v>
      </c>
      <c r="W219" s="361">
        <v>0.25255608525353318</v>
      </c>
      <c r="X219" s="361">
        <v>0.25863409216891908</v>
      </c>
      <c r="Y219" s="397">
        <v>0.2577660409220387</v>
      </c>
      <c r="Z219" s="300">
        <f t="shared" si="110"/>
        <v>0.17566618196011582</v>
      </c>
      <c r="AA219" s="302">
        <f t="shared" si="111"/>
        <v>0.16060043978859928</v>
      </c>
      <c r="AB219" s="1054">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1055">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334">
        <f t="shared" si="121"/>
        <v>0</v>
      </c>
      <c r="AE219" s="1043">
        <f t="shared" si="118"/>
        <v>3.9833398942709035E-2</v>
      </c>
      <c r="AF219" s="1043">
        <f t="shared" si="119"/>
        <v>0.17566618196011582</v>
      </c>
      <c r="AG219" s="1043">
        <f t="shared" si="120"/>
        <v>0.21549958090282487</v>
      </c>
      <c r="AH219" s="1280">
        <f t="shared" si="116"/>
        <v>0.18484211790959859</v>
      </c>
      <c r="AI219" s="1043">
        <f t="shared" si="117"/>
        <v>0.81515788209040141</v>
      </c>
      <c r="AJ219" s="245"/>
      <c r="AK219" s="245"/>
      <c r="AL219" s="245"/>
      <c r="AM219" s="245"/>
    </row>
    <row r="220" spans="1:39" x14ac:dyDescent="0.2">
      <c r="A220" s="348">
        <v>2047</v>
      </c>
      <c r="B220" s="362">
        <v>0</v>
      </c>
      <c r="C220" s="363">
        <v>0</v>
      </c>
      <c r="D220" s="363">
        <v>3.6999677116371019E-2</v>
      </c>
      <c r="E220" s="363">
        <v>0.1072229285592582</v>
      </c>
      <c r="F220" s="363">
        <v>0.14703544989244086</v>
      </c>
      <c r="G220" s="363">
        <v>0.16963801791053834</v>
      </c>
      <c r="H220" s="363">
        <v>0.18537777322298024</v>
      </c>
      <c r="I220" s="363">
        <v>0.19245254077279941</v>
      </c>
      <c r="J220" s="363">
        <v>0.1983394001505121</v>
      </c>
      <c r="K220" s="363">
        <v>0.20075704980117454</v>
      </c>
      <c r="L220" s="398">
        <v>0.20274833359337965</v>
      </c>
      <c r="M220" s="314">
        <f t="shared" si="108"/>
        <v>3.9170927920970947E-2</v>
      </c>
      <c r="N220" s="316">
        <f t="shared" si="109"/>
        <v>3.6184688879891527E-2</v>
      </c>
      <c r="O220" s="362">
        <v>0</v>
      </c>
      <c r="P220" s="363">
        <v>1.1685231542085813E-4</v>
      </c>
      <c r="Q220" s="363">
        <v>6.8075101411509006E-2</v>
      </c>
      <c r="R220" s="363">
        <v>0.14479740034651251</v>
      </c>
      <c r="S220" s="363">
        <v>0.19213865716427117</v>
      </c>
      <c r="T220" s="363">
        <v>0.2222692743311897</v>
      </c>
      <c r="U220" s="363">
        <v>0.23878432340048228</v>
      </c>
      <c r="V220" s="363">
        <v>0.24590934807800804</v>
      </c>
      <c r="W220" s="363">
        <v>0.24880971912665989</v>
      </c>
      <c r="X220" s="363">
        <v>0.2548883179449416</v>
      </c>
      <c r="Y220" s="398">
        <v>0.254187662368214</v>
      </c>
      <c r="Z220" s="314">
        <f t="shared" si="110"/>
        <v>0.17199227481583443</v>
      </c>
      <c r="AA220" s="316">
        <f t="shared" si="111"/>
        <v>0.1570628360952584</v>
      </c>
      <c r="AB220" s="1054">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1055">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334">
        <f t="shared" si="121"/>
        <v>0</v>
      </c>
      <c r="AE220" s="1043">
        <f t="shared" si="118"/>
        <v>3.9170927920970947E-2</v>
      </c>
      <c r="AF220" s="1043">
        <f t="shared" si="119"/>
        <v>0.17199227481583443</v>
      </c>
      <c r="AG220" s="1043">
        <f t="shared" si="120"/>
        <v>0.21116320273680539</v>
      </c>
      <c r="AH220" s="1280">
        <f t="shared" si="116"/>
        <v>0.18550072840955031</v>
      </c>
      <c r="AI220" s="1043">
        <f t="shared" si="117"/>
        <v>0.81449927159044966</v>
      </c>
      <c r="AJ220" s="245"/>
      <c r="AK220" s="245"/>
      <c r="AL220" s="245"/>
      <c r="AM220" s="245"/>
    </row>
    <row r="221" spans="1:39" x14ac:dyDescent="0.2">
      <c r="A221" s="348">
        <v>2048</v>
      </c>
      <c r="B221" s="362">
        <v>0</v>
      </c>
      <c r="C221" s="363">
        <v>0</v>
      </c>
      <c r="D221" s="363">
        <v>3.5463023438733969E-2</v>
      </c>
      <c r="E221" s="363">
        <v>0.10460063873562071</v>
      </c>
      <c r="F221" s="363">
        <v>0.14388692572485823</v>
      </c>
      <c r="G221" s="363">
        <v>0.16742331773115235</v>
      </c>
      <c r="H221" s="363">
        <v>0.1831365414833212</v>
      </c>
      <c r="I221" s="363">
        <v>0.19083990772023968</v>
      </c>
      <c r="J221" s="363">
        <v>0.19671750171563221</v>
      </c>
      <c r="K221" s="363">
        <v>0.19900321191560097</v>
      </c>
      <c r="L221" s="398">
        <v>0.20125659079853681</v>
      </c>
      <c r="M221" s="314">
        <f t="shared" si="108"/>
        <v>3.8666772647819293E-2</v>
      </c>
      <c r="N221" s="316">
        <f t="shared" si="109"/>
        <v>3.5665855336449809E-2</v>
      </c>
      <c r="O221" s="362">
        <v>0</v>
      </c>
      <c r="P221" s="363">
        <v>1.1986730712585816E-4</v>
      </c>
      <c r="Q221" s="363">
        <v>6.6484671067799719E-2</v>
      </c>
      <c r="R221" s="363">
        <v>0.14121149664961771</v>
      </c>
      <c r="S221" s="363">
        <v>0.18933532283626109</v>
      </c>
      <c r="T221" s="363">
        <v>0.21915462750218948</v>
      </c>
      <c r="U221" s="363">
        <v>0.2355499292905697</v>
      </c>
      <c r="V221" s="363">
        <v>0.24269808558537467</v>
      </c>
      <c r="W221" s="363">
        <v>0.24563890498538299</v>
      </c>
      <c r="X221" s="363">
        <v>0.25173345124856911</v>
      </c>
      <c r="Y221" s="398">
        <v>0.2512134994698127</v>
      </c>
      <c r="Z221" s="314">
        <f t="shared" si="110"/>
        <v>0.16961111211278163</v>
      </c>
      <c r="AA221" s="316">
        <f t="shared" si="111"/>
        <v>0.15481530859572906</v>
      </c>
      <c r="AB221" s="1054">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1055">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334">
        <f t="shared" si="121"/>
        <v>0</v>
      </c>
      <c r="AE221" s="1043">
        <f t="shared" si="118"/>
        <v>3.8666772647819293E-2</v>
      </c>
      <c r="AF221" s="1043">
        <f t="shared" si="119"/>
        <v>0.16961111211278163</v>
      </c>
      <c r="AG221" s="1043">
        <f t="shared" si="120"/>
        <v>0.20827788476060091</v>
      </c>
      <c r="AH221" s="1280">
        <f t="shared" si="116"/>
        <v>0.18564992002037908</v>
      </c>
      <c r="AI221" s="1043">
        <f t="shared" si="117"/>
        <v>0.81435007997962094</v>
      </c>
      <c r="AJ221" s="245"/>
      <c r="AK221" s="245"/>
      <c r="AL221" s="245"/>
      <c r="AM221" s="245"/>
    </row>
    <row r="222" spans="1:39" x14ac:dyDescent="0.2">
      <c r="A222" s="348">
        <v>2049</v>
      </c>
      <c r="B222" s="362">
        <v>0</v>
      </c>
      <c r="C222" s="363">
        <v>0</v>
      </c>
      <c r="D222" s="363">
        <v>3.4749380105198846E-2</v>
      </c>
      <c r="E222" s="363">
        <v>0.10192869362962287</v>
      </c>
      <c r="F222" s="363">
        <v>0.14183048747740265</v>
      </c>
      <c r="G222" s="363">
        <v>0.1653517519682989</v>
      </c>
      <c r="H222" s="363">
        <v>0.18106681211009473</v>
      </c>
      <c r="I222" s="363">
        <v>0.18889790390915615</v>
      </c>
      <c r="J222" s="363">
        <v>0.19621131360941618</v>
      </c>
      <c r="K222" s="363">
        <v>0.19743345326231382</v>
      </c>
      <c r="L222" s="398">
        <v>0.2008708312564898</v>
      </c>
      <c r="M222" s="314">
        <f t="shared" si="108"/>
        <v>3.8240979770854368E-2</v>
      </c>
      <c r="N222" s="316">
        <f t="shared" si="109"/>
        <v>3.5225812181307985E-2</v>
      </c>
      <c r="O222" s="362">
        <v>0</v>
      </c>
      <c r="P222" s="363">
        <v>1.1331361747717881E-4</v>
      </c>
      <c r="Q222" s="363">
        <v>6.5017541006010496E-2</v>
      </c>
      <c r="R222" s="363">
        <v>0.13954123598755178</v>
      </c>
      <c r="S222" s="363">
        <v>0.1855558795304828</v>
      </c>
      <c r="T222" s="363">
        <v>0.21504161038781947</v>
      </c>
      <c r="U222" s="363">
        <v>0.22499910806468665</v>
      </c>
      <c r="V222" s="363">
        <v>0.24034563159480657</v>
      </c>
      <c r="W222" s="363">
        <v>0.24328094688105831</v>
      </c>
      <c r="X222" s="363">
        <v>0.24755967189612688</v>
      </c>
      <c r="Y222" s="398">
        <v>0.24885787909971716</v>
      </c>
      <c r="Z222" s="314">
        <f t="shared" si="110"/>
        <v>0.16539658442768093</v>
      </c>
      <c r="AA222" s="316">
        <f t="shared" si="111"/>
        <v>0.1509102113938377</v>
      </c>
      <c r="AB222" s="1054">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1055">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334">
        <f t="shared" si="121"/>
        <v>0</v>
      </c>
      <c r="AE222" s="1043">
        <f t="shared" si="118"/>
        <v>3.8240979770854368E-2</v>
      </c>
      <c r="AF222" s="1043">
        <f t="shared" si="119"/>
        <v>0.16539658442768093</v>
      </c>
      <c r="AG222" s="1043">
        <f t="shared" si="120"/>
        <v>0.20363756419853529</v>
      </c>
      <c r="AH222" s="1280">
        <f t="shared" si="116"/>
        <v>0.18778941852580569</v>
      </c>
      <c r="AI222" s="1043">
        <f t="shared" si="117"/>
        <v>0.81221058147419434</v>
      </c>
      <c r="AJ222" s="245"/>
      <c r="AK222" s="245"/>
      <c r="AL222" s="245"/>
      <c r="AM222" s="245"/>
    </row>
    <row r="223" spans="1:39" ht="13.5" thickBot="1" x14ac:dyDescent="0.25">
      <c r="A223" s="346">
        <v>2050</v>
      </c>
      <c r="B223" s="364">
        <v>0</v>
      </c>
      <c r="C223" s="365">
        <v>0</v>
      </c>
      <c r="D223" s="365">
        <v>3.3601639336872477E-2</v>
      </c>
      <c r="E223" s="365">
        <v>9.3841327976164776E-2</v>
      </c>
      <c r="F223" s="365">
        <v>0.14157244542233541</v>
      </c>
      <c r="G223" s="365">
        <v>0.16390816501413241</v>
      </c>
      <c r="H223" s="365">
        <v>0.18073680865867972</v>
      </c>
      <c r="I223" s="365">
        <v>0.18854871883421037</v>
      </c>
      <c r="J223" s="365">
        <v>0.19462062358519702</v>
      </c>
      <c r="K223" s="365">
        <v>0.19706044324305036</v>
      </c>
      <c r="L223" s="399">
        <v>0.19944508563018554</v>
      </c>
      <c r="M223" s="328">
        <f t="shared" si="108"/>
        <v>3.7949262543151861E-2</v>
      </c>
      <c r="N223" s="330">
        <f t="shared" si="109"/>
        <v>3.4857921769345601E-2</v>
      </c>
      <c r="O223" s="364">
        <v>0</v>
      </c>
      <c r="P223" s="365">
        <v>1.1091579236149181E-4</v>
      </c>
      <c r="Q223" s="365">
        <v>6.4379798692894855E-2</v>
      </c>
      <c r="R223" s="365">
        <v>0.13704111359165064</v>
      </c>
      <c r="S223" s="365">
        <v>0.18256564026281075</v>
      </c>
      <c r="T223" s="365">
        <v>0.21168175777975134</v>
      </c>
      <c r="U223" s="365">
        <v>0.22347116998821512</v>
      </c>
      <c r="V223" s="365">
        <v>0.23690443182300036</v>
      </c>
      <c r="W223" s="365">
        <v>0.23987932067211987</v>
      </c>
      <c r="X223" s="365">
        <v>0.24234956952936712</v>
      </c>
      <c r="Y223" s="399">
        <v>0.24568990439390945</v>
      </c>
      <c r="Z223" s="328">
        <f t="shared" si="110"/>
        <v>0.16330235767679932</v>
      </c>
      <c r="AA223" s="330">
        <f t="shared" si="111"/>
        <v>0.14897877338051418</v>
      </c>
      <c r="AB223" s="1056">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1057">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335">
        <f t="shared" si="121"/>
        <v>0</v>
      </c>
      <c r="AE223" s="1043">
        <f t="shared" si="118"/>
        <v>3.7949262543151861E-2</v>
      </c>
      <c r="AF223" s="1043">
        <f t="shared" si="119"/>
        <v>0.16330235767679932</v>
      </c>
      <c r="AG223" s="1043">
        <f t="shared" si="120"/>
        <v>0.20125162021995119</v>
      </c>
      <c r="AH223" s="1280">
        <f t="shared" si="116"/>
        <v>0.18856624608376565</v>
      </c>
      <c r="AI223" s="1043">
        <f t="shared" si="117"/>
        <v>0.81143375391623429</v>
      </c>
      <c r="AJ223" s="245"/>
      <c r="AK223" s="245"/>
      <c r="AL223" s="245"/>
      <c r="AM223" s="245"/>
    </row>
    <row r="224" spans="1:39" x14ac:dyDescent="0.2">
      <c r="B224" s="245" t="str">
        <f>B$120</f>
        <v>Output generated: 2/21/2020 18:23</v>
      </c>
      <c r="U224" s="245" t="str">
        <f>U$120</f>
        <v>Output generated: 2/21/2020 18:23</v>
      </c>
      <c r="AC224" s="1043"/>
      <c r="AE224" s="1043"/>
      <c r="AF224" s="1043"/>
      <c r="AG224" s="1043"/>
      <c r="AH224" s="1043"/>
      <c r="AI224" s="1043"/>
      <c r="AJ224" s="245"/>
      <c r="AK224" s="245"/>
      <c r="AL224" s="245"/>
      <c r="AM224" s="245"/>
    </row>
    <row r="225" spans="1:39" x14ac:dyDescent="0.2">
      <c r="AE225" s="1043"/>
      <c r="AF225" s="1043"/>
      <c r="AG225" s="1043"/>
      <c r="AH225" s="1043"/>
      <c r="AI225" s="1043"/>
    </row>
    <row r="226" spans="1:39" ht="13.5" thickBot="1" x14ac:dyDescent="0.25">
      <c r="AE226" s="1043"/>
      <c r="AF226" s="1043"/>
      <c r="AG226" s="1043"/>
      <c r="AH226" s="1043"/>
      <c r="AI226" s="1043"/>
    </row>
    <row r="227" spans="1:39" ht="15" x14ac:dyDescent="0.25">
      <c r="A227" s="351"/>
      <c r="B227" s="713" t="s">
        <v>219</v>
      </c>
      <c r="C227" s="714"/>
      <c r="D227" s="714"/>
      <c r="E227" s="714"/>
      <c r="F227" s="714"/>
      <c r="G227" s="714"/>
      <c r="H227" s="714"/>
      <c r="I227" s="714"/>
      <c r="J227" s="714"/>
      <c r="K227" s="714"/>
      <c r="L227" s="714"/>
      <c r="M227" s="714"/>
      <c r="N227" s="715"/>
      <c r="O227" s="713" t="s">
        <v>218</v>
      </c>
      <c r="P227" s="714"/>
      <c r="Q227" s="714"/>
      <c r="R227" s="714"/>
      <c r="S227" s="714"/>
      <c r="T227" s="714"/>
      <c r="U227" s="714"/>
      <c r="V227" s="714"/>
      <c r="W227" s="714"/>
      <c r="X227" s="714"/>
      <c r="Y227" s="714"/>
      <c r="Z227" s="714"/>
      <c r="AA227" s="715"/>
      <c r="AE227" s="1043"/>
      <c r="AF227" s="1043"/>
      <c r="AG227" s="1043"/>
      <c r="AH227" s="1043"/>
      <c r="AI227" s="1043"/>
    </row>
    <row r="228" spans="1:39"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E228" s="1043"/>
      <c r="AF228" s="1043"/>
      <c r="AG228" s="1043"/>
      <c r="AH228" s="1043"/>
      <c r="AI228" s="1043"/>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C229" s="1009" t="s">
        <v>276</v>
      </c>
      <c r="AD229" s="252" t="b">
        <f>INDEX(TECH_OPT_FUEL2_Cls1,MATCH(RIGHT(O227),TECH_OPT_ROWS_Cls1,0))&lt;&gt;"N/A"</f>
        <v>1</v>
      </c>
      <c r="AE229" s="1043"/>
      <c r="AF229" s="1043"/>
      <c r="AG229" s="1043"/>
      <c r="AH229" s="1043"/>
      <c r="AI229" s="1043"/>
    </row>
    <row r="230" spans="1:39" ht="14.25" thickTop="1" thickBot="1" x14ac:dyDescent="0.25">
      <c r="A230" s="366" t="s">
        <v>124</v>
      </c>
      <c r="B230" s="358">
        <f t="array" ref="B230:L230">TRANSPOSE(Cls1CentTruckShr)</f>
        <v>7.9460669190030697E-3</v>
      </c>
      <c r="C230" s="359">
        <v>4.9615201402207001E-3</v>
      </c>
      <c r="D230" s="359">
        <v>9.2815995818941767E-3</v>
      </c>
      <c r="E230" s="359">
        <v>3.0833513121077051E-2</v>
      </c>
      <c r="F230" s="359">
        <v>4.3269302277925595E-2</v>
      </c>
      <c r="G230" s="359">
        <v>2.8144935330937017E-2</v>
      </c>
      <c r="H230" s="359">
        <v>6.8990329765143715E-2</v>
      </c>
      <c r="I230" s="359">
        <v>2.4926184998997059E-2</v>
      </c>
      <c r="J230" s="359">
        <v>7.8890239376675012E-3</v>
      </c>
      <c r="K230" s="359">
        <v>3.6046105934191604E-3</v>
      </c>
      <c r="L230" s="396">
        <v>7.5162351043371062E-3</v>
      </c>
      <c r="M230" s="403"/>
      <c r="N230" s="352"/>
      <c r="O230" s="358">
        <f t="array" ref="O230:Y230">TRANSPOSE(Cls1NCentTruckShr)</f>
        <v>1.2963682068270432E-2</v>
      </c>
      <c r="P230" s="359">
        <v>2.3837141813212878E-2</v>
      </c>
      <c r="Q230" s="359">
        <v>2.5768680683356839E-2</v>
      </c>
      <c r="R230" s="359">
        <v>5.7965433078982248E-2</v>
      </c>
      <c r="S230" s="359">
        <v>0.10312619102844889</v>
      </c>
      <c r="T230" s="359">
        <v>0.18550667796975542</v>
      </c>
      <c r="U230" s="359">
        <v>0.21310728355070049</v>
      </c>
      <c r="V230" s="359">
        <v>7.3364250696428643E-2</v>
      </c>
      <c r="W230" s="359">
        <v>1.9856733825595378E-2</v>
      </c>
      <c r="X230" s="359">
        <v>2.1261216059795113E-2</v>
      </c>
      <c r="Y230" s="396">
        <v>2.5879387454831333E-2</v>
      </c>
      <c r="Z230" s="403"/>
      <c r="AA230" s="352"/>
      <c r="AB230" s="1042"/>
      <c r="AC230" s="1009" t="s">
        <v>277</v>
      </c>
      <c r="AD230" s="252">
        <f>MATCH(RIGHT(O227),TECH_OPT_ROWS_Cls1,0)</f>
        <v>5</v>
      </c>
      <c r="AE230" s="1043"/>
      <c r="AF230" s="1043"/>
      <c r="AG230" s="1043"/>
      <c r="AH230" s="1043"/>
      <c r="AI230" s="1043"/>
    </row>
    <row r="231" spans="1:39" x14ac:dyDescent="0.2">
      <c r="A231" s="349" t="s">
        <v>125</v>
      </c>
      <c r="B231" s="1044">
        <f t="array" ref="B231:L231">TRANSPOSE(Cls1CentVMTShr)</f>
        <v>8.9762242961142352E-4</v>
      </c>
      <c r="C231" s="1045">
        <v>1.2044238150123706E-3</v>
      </c>
      <c r="D231" s="1045">
        <v>4.1499109643594731E-3</v>
      </c>
      <c r="E231" s="1045">
        <v>1.9575808105519295E-2</v>
      </c>
      <c r="F231" s="1045">
        <v>3.4523467949689302E-2</v>
      </c>
      <c r="G231" s="1045">
        <v>2.7311948935134379E-2</v>
      </c>
      <c r="H231" s="1045">
        <v>7.6478458482655817E-2</v>
      </c>
      <c r="I231" s="1045">
        <v>3.2480526319280681E-2</v>
      </c>
      <c r="J231" s="1045">
        <v>1.1772940427842455E-2</v>
      </c>
      <c r="K231" s="1045">
        <v>6.0339283082965706E-3</v>
      </c>
      <c r="L231" s="1046">
        <v>1.5952440951210019E-2</v>
      </c>
      <c r="M231" s="406"/>
      <c r="N231" s="352"/>
      <c r="O231" s="1044">
        <f t="array" ref="O231:Y231">TRANSPOSE(Cls1NCentVMTShr)</f>
        <v>1.3589913425833078E-3</v>
      </c>
      <c r="P231" s="1045">
        <v>5.8692629772239642E-3</v>
      </c>
      <c r="Q231" s="1045">
        <v>1.2100393581509007E-2</v>
      </c>
      <c r="R231" s="1045">
        <v>3.6555003327388577E-2</v>
      </c>
      <c r="S231" s="1045">
        <v>8.3148735051829181E-2</v>
      </c>
      <c r="T231" s="1045">
        <v>0.18151138394047112</v>
      </c>
      <c r="U231" s="1045">
        <v>0.2383386372324876</v>
      </c>
      <c r="V231" s="1045">
        <v>9.5602564448196578E-2</v>
      </c>
      <c r="W231" s="1045">
        <v>2.9193025028929166E-2</v>
      </c>
      <c r="X231" s="1045">
        <v>3.5209492159336005E-2</v>
      </c>
      <c r="Y231" s="1046">
        <v>5.0731034221433824E-2</v>
      </c>
      <c r="Z231" s="406"/>
      <c r="AA231" s="352"/>
      <c r="AB231" s="1574" t="str">
        <f>"% of miles on f2 for Tech "&amp; RIGHT(O227)&amp;" adopters"</f>
        <v>% of miles on f2 for Tech D adopters</v>
      </c>
      <c r="AC231" s="1575"/>
      <c r="AD231" s="1576"/>
      <c r="AE231" s="1043" t="s">
        <v>310</v>
      </c>
      <c r="AF231" s="1043"/>
      <c r="AG231" s="1043"/>
      <c r="AH231" s="1280" t="s">
        <v>319</v>
      </c>
      <c r="AI231" s="1043"/>
    </row>
    <row r="232" spans="1:39" ht="13.5" thickBot="1" x14ac:dyDescent="0.25">
      <c r="A232" s="1048" t="s">
        <v>275</v>
      </c>
      <c r="B232" s="1039">
        <f t="array" ref="B232:L232">TRANSPOSE(Cls1CentVMT/OPDAYS_Cls1)</f>
        <v>51.642967609234425</v>
      </c>
      <c r="C232" s="1040">
        <v>110.97733417848234</v>
      </c>
      <c r="D232" s="1040">
        <v>204.40224583551472</v>
      </c>
      <c r="E232" s="1040">
        <v>290.24610572847212</v>
      </c>
      <c r="F232" s="1040">
        <v>364.75750419264841</v>
      </c>
      <c r="G232" s="1040">
        <v>443.63126889109378</v>
      </c>
      <c r="H232" s="1040">
        <v>506.78134229373978</v>
      </c>
      <c r="I232" s="1040">
        <v>595.71283413609137</v>
      </c>
      <c r="J232" s="1040">
        <v>682.23089916089702</v>
      </c>
      <c r="K232" s="1040">
        <v>765.26438827532684</v>
      </c>
      <c r="L232" s="1041">
        <v>970.27871027310334</v>
      </c>
      <c r="M232" s="1037"/>
      <c r="N232" s="1038"/>
      <c r="O232" s="1039">
        <f t="array" ref="O232:Y232">TRANSPOSE(Cls1NCentVMT/OPDAYS_Cls1)</f>
        <v>47.924548633512046</v>
      </c>
      <c r="P232" s="1040">
        <v>112.56389213862748</v>
      </c>
      <c r="Q232" s="1040">
        <v>214.67280220238027</v>
      </c>
      <c r="R232" s="1040">
        <v>288.30186744262801</v>
      </c>
      <c r="S232" s="1040">
        <v>368.60089210549245</v>
      </c>
      <c r="T232" s="1040">
        <v>447.31558789932524</v>
      </c>
      <c r="U232" s="1040">
        <v>511.28831950097862</v>
      </c>
      <c r="V232" s="1040">
        <v>595.73726658362273</v>
      </c>
      <c r="W232" s="1040">
        <v>672.11099195240695</v>
      </c>
      <c r="X232" s="1040">
        <v>757.0793017898726</v>
      </c>
      <c r="Y232" s="1041">
        <v>896.16800791754974</v>
      </c>
      <c r="Z232" s="1049"/>
      <c r="AA232" s="1038"/>
      <c r="AB232" s="1051" t="s">
        <v>188</v>
      </c>
      <c r="AC232" s="1052" t="s">
        <v>15</v>
      </c>
      <c r="AD232" s="1053" t="s">
        <v>18</v>
      </c>
      <c r="AE232" s="1043" t="s">
        <v>188</v>
      </c>
      <c r="AF232" s="1043" t="s">
        <v>15</v>
      </c>
      <c r="AG232" s="1043" t="s">
        <v>18</v>
      </c>
      <c r="AH232" s="1280" t="s">
        <v>188</v>
      </c>
      <c r="AI232" s="1043" t="s">
        <v>15</v>
      </c>
    </row>
    <row r="233" spans="1:39" ht="13.5" thickTop="1" x14ac:dyDescent="0.2">
      <c r="A233" s="1047">
        <v>2007</v>
      </c>
      <c r="B233" s="360">
        <v>0</v>
      </c>
      <c r="C233" s="361">
        <v>0</v>
      </c>
      <c r="D233" s="361">
        <v>0</v>
      </c>
      <c r="E233" s="361">
        <v>0</v>
      </c>
      <c r="F233" s="361">
        <v>0</v>
      </c>
      <c r="G233" s="361">
        <v>0</v>
      </c>
      <c r="H233" s="361">
        <v>0</v>
      </c>
      <c r="I233" s="361">
        <v>0</v>
      </c>
      <c r="J233" s="361">
        <v>0</v>
      </c>
      <c r="K233" s="361">
        <v>0</v>
      </c>
      <c r="L233" s="397">
        <v>0</v>
      </c>
      <c r="M233" s="300">
        <f t="shared" ref="M233:M276" si="122">SUMPRODUCT($B$178:$L$178,$B233:$L233)</f>
        <v>0</v>
      </c>
      <c r="N233" s="302">
        <f t="shared" ref="N233:N276" si="123">SUMPRODUCT($B$177:$L$177,$B233:$L233)</f>
        <v>0</v>
      </c>
      <c r="O233" s="360">
        <v>0</v>
      </c>
      <c r="P233" s="361">
        <v>0</v>
      </c>
      <c r="Q233" s="361">
        <v>0</v>
      </c>
      <c r="R233" s="361">
        <v>0</v>
      </c>
      <c r="S233" s="361">
        <v>0</v>
      </c>
      <c r="T233" s="361">
        <v>0</v>
      </c>
      <c r="U233" s="361">
        <v>0</v>
      </c>
      <c r="V233" s="361">
        <v>0</v>
      </c>
      <c r="W233" s="361">
        <v>0</v>
      </c>
      <c r="X233" s="361">
        <v>0</v>
      </c>
      <c r="Y233" s="397">
        <v>0</v>
      </c>
      <c r="Z233" s="300">
        <f t="shared" ref="Z233:Z276" si="124">SUMPRODUCT($O$178:$Y$178,$O233:$Y233)</f>
        <v>0</v>
      </c>
      <c r="AA233" s="302">
        <f t="shared" ref="AA233:AA276" si="125">SUMPRODUCT($O$177:$Y$177,$O233:$Y233)</f>
        <v>0</v>
      </c>
      <c r="AB233" s="1054">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1055">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334">
        <f t="shared" ref="AD233:AD258" si="126">AB233*AH233+AC233*AI233</f>
        <v>0</v>
      </c>
      <c r="AE233" s="1043">
        <f t="shared" ref="AE233:AE247" si="127">SUMPRODUCT($B$74:$L$74,B233:L233)</f>
        <v>0</v>
      </c>
      <c r="AF233" s="1043">
        <f t="shared" ref="AF233:AF247" si="128">SUMPRODUCT($O$74:$Y$74,O233:Y233)</f>
        <v>0</v>
      </c>
      <c r="AG233" s="1043">
        <f t="shared" ref="AG233:AG247" si="129">SUM(AE233:AF233)</f>
        <v>0</v>
      </c>
      <c r="AH233" s="1280">
        <f>IF(AG233&gt;0,AE233/AG233,0)</f>
        <v>0</v>
      </c>
      <c r="AI233" s="1043">
        <f>IF(AG233&gt;0,AF233/AG233,0)</f>
        <v>0</v>
      </c>
      <c r="AJ233" s="245"/>
      <c r="AK233" s="245"/>
      <c r="AL233" s="245"/>
      <c r="AM233" s="245"/>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si="122"/>
        <v>0</v>
      </c>
      <c r="N234" s="316">
        <f t="shared" si="123"/>
        <v>0</v>
      </c>
      <c r="O234" s="362">
        <v>0</v>
      </c>
      <c r="P234" s="363">
        <v>0</v>
      </c>
      <c r="Q234" s="363">
        <v>0</v>
      </c>
      <c r="R234" s="363">
        <v>0</v>
      </c>
      <c r="S234" s="363">
        <v>0</v>
      </c>
      <c r="T234" s="363">
        <v>0</v>
      </c>
      <c r="U234" s="363">
        <v>0</v>
      </c>
      <c r="V234" s="363">
        <v>0</v>
      </c>
      <c r="W234" s="363">
        <v>0</v>
      </c>
      <c r="X234" s="363">
        <v>0</v>
      </c>
      <c r="Y234" s="398">
        <v>0</v>
      </c>
      <c r="Z234" s="314">
        <f t="shared" si="124"/>
        <v>0</v>
      </c>
      <c r="AA234" s="316">
        <f t="shared" si="125"/>
        <v>0</v>
      </c>
      <c r="AB234" s="1054">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1055">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334">
        <f t="shared" si="126"/>
        <v>0</v>
      </c>
      <c r="AE234" s="1043">
        <f t="shared" si="127"/>
        <v>0</v>
      </c>
      <c r="AF234" s="1043">
        <f t="shared" si="128"/>
        <v>0</v>
      </c>
      <c r="AG234" s="1043">
        <f t="shared" si="129"/>
        <v>0</v>
      </c>
      <c r="AH234" s="1280">
        <f t="shared" ref="AH234:AH276" si="130">IF(AG234&gt;0,AE234/AG234,0)</f>
        <v>0</v>
      </c>
      <c r="AI234" s="1043">
        <f t="shared" ref="AI234:AI276" si="131">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22"/>
        <v>0</v>
      </c>
      <c r="N235" s="316">
        <f t="shared" si="123"/>
        <v>0</v>
      </c>
      <c r="O235" s="362">
        <v>0</v>
      </c>
      <c r="P235" s="363">
        <v>0</v>
      </c>
      <c r="Q235" s="363">
        <v>0</v>
      </c>
      <c r="R235" s="363">
        <v>0</v>
      </c>
      <c r="S235" s="363">
        <v>0</v>
      </c>
      <c r="T235" s="363">
        <v>0</v>
      </c>
      <c r="U235" s="363">
        <v>0</v>
      </c>
      <c r="V235" s="363">
        <v>0</v>
      </c>
      <c r="W235" s="363">
        <v>0</v>
      </c>
      <c r="X235" s="363">
        <v>0</v>
      </c>
      <c r="Y235" s="398">
        <v>0</v>
      </c>
      <c r="Z235" s="314">
        <f t="shared" si="124"/>
        <v>0</v>
      </c>
      <c r="AA235" s="316">
        <f t="shared" si="125"/>
        <v>0</v>
      </c>
      <c r="AB235" s="1054">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1055">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334">
        <f t="shared" si="126"/>
        <v>0</v>
      </c>
      <c r="AE235" s="1043">
        <f t="shared" si="127"/>
        <v>0</v>
      </c>
      <c r="AF235" s="1043">
        <f t="shared" si="128"/>
        <v>0</v>
      </c>
      <c r="AG235" s="1043">
        <f t="shared" si="129"/>
        <v>0</v>
      </c>
      <c r="AH235" s="1280">
        <f t="shared" si="130"/>
        <v>0</v>
      </c>
      <c r="AI235" s="1043">
        <f t="shared" si="131"/>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22"/>
        <v>0</v>
      </c>
      <c r="N236" s="330">
        <f t="shared" si="123"/>
        <v>0</v>
      </c>
      <c r="O236" s="364">
        <v>0</v>
      </c>
      <c r="P236" s="365">
        <v>0</v>
      </c>
      <c r="Q236" s="365">
        <v>0</v>
      </c>
      <c r="R236" s="365">
        <v>0</v>
      </c>
      <c r="S236" s="365">
        <v>0</v>
      </c>
      <c r="T236" s="365">
        <v>0</v>
      </c>
      <c r="U236" s="365">
        <v>0</v>
      </c>
      <c r="V236" s="365">
        <v>0</v>
      </c>
      <c r="W236" s="365">
        <v>0</v>
      </c>
      <c r="X236" s="365">
        <v>0</v>
      </c>
      <c r="Y236" s="399">
        <v>0</v>
      </c>
      <c r="Z236" s="328">
        <f t="shared" si="124"/>
        <v>0</v>
      </c>
      <c r="AA236" s="330">
        <f t="shared" si="125"/>
        <v>0</v>
      </c>
      <c r="AB236" s="1054">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1055">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334">
        <f t="shared" si="126"/>
        <v>0</v>
      </c>
      <c r="AE236" s="1043">
        <f t="shared" si="127"/>
        <v>0</v>
      </c>
      <c r="AF236" s="1043">
        <f t="shared" si="128"/>
        <v>0</v>
      </c>
      <c r="AG236" s="1043">
        <f t="shared" si="129"/>
        <v>0</v>
      </c>
      <c r="AH236" s="1280">
        <f t="shared" si="130"/>
        <v>0</v>
      </c>
      <c r="AI236" s="1043">
        <f t="shared" si="131"/>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22"/>
        <v>0</v>
      </c>
      <c r="N237" s="302">
        <f t="shared" si="123"/>
        <v>0</v>
      </c>
      <c r="O237" s="360">
        <v>0</v>
      </c>
      <c r="P237" s="361">
        <v>0</v>
      </c>
      <c r="Q237" s="361">
        <v>0</v>
      </c>
      <c r="R237" s="361">
        <v>0</v>
      </c>
      <c r="S237" s="361">
        <v>0</v>
      </c>
      <c r="T237" s="361">
        <v>0</v>
      </c>
      <c r="U237" s="361">
        <v>0</v>
      </c>
      <c r="V237" s="361">
        <v>0</v>
      </c>
      <c r="W237" s="361">
        <v>0</v>
      </c>
      <c r="X237" s="361">
        <v>0</v>
      </c>
      <c r="Y237" s="397">
        <v>0</v>
      </c>
      <c r="Z237" s="300">
        <f t="shared" si="124"/>
        <v>0</v>
      </c>
      <c r="AA237" s="302">
        <f t="shared" si="125"/>
        <v>0</v>
      </c>
      <c r="AB237" s="1054">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1055">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334">
        <f t="shared" si="126"/>
        <v>0</v>
      </c>
      <c r="AE237" s="1043">
        <f t="shared" si="127"/>
        <v>0</v>
      </c>
      <c r="AF237" s="1043">
        <f t="shared" si="128"/>
        <v>0</v>
      </c>
      <c r="AG237" s="1043">
        <f t="shared" si="129"/>
        <v>0</v>
      </c>
      <c r="AH237" s="1280">
        <f t="shared" si="130"/>
        <v>0</v>
      </c>
      <c r="AI237" s="1043">
        <f t="shared" si="131"/>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22"/>
        <v>0</v>
      </c>
      <c r="N238" s="316">
        <f t="shared" si="123"/>
        <v>0</v>
      </c>
      <c r="O238" s="362">
        <v>0</v>
      </c>
      <c r="P238" s="363">
        <v>0</v>
      </c>
      <c r="Q238" s="363">
        <v>0</v>
      </c>
      <c r="R238" s="363">
        <v>0</v>
      </c>
      <c r="S238" s="363">
        <v>0</v>
      </c>
      <c r="T238" s="363">
        <v>0</v>
      </c>
      <c r="U238" s="363">
        <v>0</v>
      </c>
      <c r="V238" s="363">
        <v>0</v>
      </c>
      <c r="W238" s="363">
        <v>0</v>
      </c>
      <c r="X238" s="363">
        <v>0</v>
      </c>
      <c r="Y238" s="398">
        <v>0</v>
      </c>
      <c r="Z238" s="314">
        <f t="shared" si="124"/>
        <v>0</v>
      </c>
      <c r="AA238" s="316">
        <f t="shared" si="125"/>
        <v>0</v>
      </c>
      <c r="AB238" s="1054">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1055">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334">
        <f t="shared" si="126"/>
        <v>0</v>
      </c>
      <c r="AE238" s="1043">
        <f t="shared" si="127"/>
        <v>0</v>
      </c>
      <c r="AF238" s="1043">
        <f t="shared" si="128"/>
        <v>0</v>
      </c>
      <c r="AG238" s="1043">
        <f t="shared" si="129"/>
        <v>0</v>
      </c>
      <c r="AH238" s="1280">
        <f t="shared" si="130"/>
        <v>0</v>
      </c>
      <c r="AI238" s="1043">
        <f t="shared" si="131"/>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22"/>
        <v>0</v>
      </c>
      <c r="N239" s="316">
        <f t="shared" si="123"/>
        <v>0</v>
      </c>
      <c r="O239" s="362">
        <v>0</v>
      </c>
      <c r="P239" s="363">
        <v>0</v>
      </c>
      <c r="Q239" s="363">
        <v>0</v>
      </c>
      <c r="R239" s="363">
        <v>0</v>
      </c>
      <c r="S239" s="363">
        <v>0</v>
      </c>
      <c r="T239" s="363">
        <v>0</v>
      </c>
      <c r="U239" s="363">
        <v>0</v>
      </c>
      <c r="V239" s="363">
        <v>0</v>
      </c>
      <c r="W239" s="363">
        <v>0</v>
      </c>
      <c r="X239" s="363">
        <v>0</v>
      </c>
      <c r="Y239" s="398">
        <v>0</v>
      </c>
      <c r="Z239" s="314">
        <f t="shared" si="124"/>
        <v>0</v>
      </c>
      <c r="AA239" s="316">
        <f t="shared" si="125"/>
        <v>0</v>
      </c>
      <c r="AB239" s="1054">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1055">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334">
        <f t="shared" si="126"/>
        <v>0</v>
      </c>
      <c r="AE239" s="1043">
        <f t="shared" si="127"/>
        <v>0</v>
      </c>
      <c r="AF239" s="1043">
        <f t="shared" si="128"/>
        <v>0</v>
      </c>
      <c r="AG239" s="1043">
        <f t="shared" si="129"/>
        <v>0</v>
      </c>
      <c r="AH239" s="1280">
        <f t="shared" si="130"/>
        <v>0</v>
      </c>
      <c r="AI239" s="1043">
        <f t="shared" si="131"/>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22"/>
        <v>0</v>
      </c>
      <c r="N240" s="316">
        <f t="shared" si="123"/>
        <v>0</v>
      </c>
      <c r="O240" s="362">
        <v>0</v>
      </c>
      <c r="P240" s="363">
        <v>0</v>
      </c>
      <c r="Q240" s="363">
        <v>0</v>
      </c>
      <c r="R240" s="363">
        <v>0</v>
      </c>
      <c r="S240" s="363">
        <v>0</v>
      </c>
      <c r="T240" s="363">
        <v>0</v>
      </c>
      <c r="U240" s="363">
        <v>0</v>
      </c>
      <c r="V240" s="363">
        <v>0</v>
      </c>
      <c r="W240" s="363">
        <v>0</v>
      </c>
      <c r="X240" s="363">
        <v>0</v>
      </c>
      <c r="Y240" s="398">
        <v>0</v>
      </c>
      <c r="Z240" s="314">
        <f t="shared" si="124"/>
        <v>0</v>
      </c>
      <c r="AA240" s="316">
        <f t="shared" si="125"/>
        <v>0</v>
      </c>
      <c r="AB240" s="1054">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1055">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334">
        <f t="shared" si="126"/>
        <v>0</v>
      </c>
      <c r="AE240" s="1043">
        <f t="shared" si="127"/>
        <v>0</v>
      </c>
      <c r="AF240" s="1043">
        <f t="shared" si="128"/>
        <v>0</v>
      </c>
      <c r="AG240" s="1043">
        <f t="shared" si="129"/>
        <v>0</v>
      </c>
      <c r="AH240" s="1280">
        <f t="shared" si="130"/>
        <v>0</v>
      </c>
      <c r="AI240" s="1043">
        <f t="shared" si="131"/>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22"/>
        <v>0</v>
      </c>
      <c r="N241" s="330">
        <f t="shared" si="123"/>
        <v>0</v>
      </c>
      <c r="O241" s="364">
        <v>0</v>
      </c>
      <c r="P241" s="365">
        <v>0</v>
      </c>
      <c r="Q241" s="365">
        <v>0</v>
      </c>
      <c r="R241" s="365">
        <v>0</v>
      </c>
      <c r="S241" s="365">
        <v>0</v>
      </c>
      <c r="T241" s="365">
        <v>0</v>
      </c>
      <c r="U241" s="365">
        <v>0</v>
      </c>
      <c r="V241" s="365">
        <v>0</v>
      </c>
      <c r="W241" s="365">
        <v>0</v>
      </c>
      <c r="X241" s="365">
        <v>0</v>
      </c>
      <c r="Y241" s="399">
        <v>0</v>
      </c>
      <c r="Z241" s="328">
        <f t="shared" si="124"/>
        <v>0</v>
      </c>
      <c r="AA241" s="330">
        <f t="shared" si="125"/>
        <v>0</v>
      </c>
      <c r="AB241" s="1054">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1055">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334">
        <f t="shared" si="126"/>
        <v>0</v>
      </c>
      <c r="AE241" s="1043">
        <f t="shared" si="127"/>
        <v>0</v>
      </c>
      <c r="AF241" s="1043">
        <f t="shared" si="128"/>
        <v>0</v>
      </c>
      <c r="AG241" s="1043">
        <f t="shared" si="129"/>
        <v>0</v>
      </c>
      <c r="AH241" s="1280">
        <f t="shared" si="130"/>
        <v>0</v>
      </c>
      <c r="AI241" s="1043">
        <f t="shared" si="131"/>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22"/>
        <v>0</v>
      </c>
      <c r="N242" s="302">
        <f t="shared" si="123"/>
        <v>0</v>
      </c>
      <c r="O242" s="360">
        <v>0</v>
      </c>
      <c r="P242" s="361">
        <v>0</v>
      </c>
      <c r="Q242" s="361">
        <v>0</v>
      </c>
      <c r="R242" s="361">
        <v>0</v>
      </c>
      <c r="S242" s="361">
        <v>0</v>
      </c>
      <c r="T242" s="361">
        <v>0</v>
      </c>
      <c r="U242" s="361">
        <v>0</v>
      </c>
      <c r="V242" s="361">
        <v>0</v>
      </c>
      <c r="W242" s="361">
        <v>0</v>
      </c>
      <c r="X242" s="361">
        <v>0</v>
      </c>
      <c r="Y242" s="397">
        <v>0</v>
      </c>
      <c r="Z242" s="300">
        <f t="shared" si="124"/>
        <v>0</v>
      </c>
      <c r="AA242" s="302">
        <f t="shared" si="125"/>
        <v>0</v>
      </c>
      <c r="AB242" s="1054">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1055">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334">
        <f t="shared" si="126"/>
        <v>0</v>
      </c>
      <c r="AE242" s="1043">
        <f t="shared" si="127"/>
        <v>0</v>
      </c>
      <c r="AF242" s="1043">
        <f t="shared" si="128"/>
        <v>0</v>
      </c>
      <c r="AG242" s="1043">
        <f t="shared" si="129"/>
        <v>0</v>
      </c>
      <c r="AH242" s="1280">
        <f t="shared" si="130"/>
        <v>0</v>
      </c>
      <c r="AI242" s="1043">
        <f t="shared" si="131"/>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22"/>
        <v>0</v>
      </c>
      <c r="N243" s="316">
        <f t="shared" si="123"/>
        <v>0</v>
      </c>
      <c r="O243" s="362">
        <v>0</v>
      </c>
      <c r="P243" s="363">
        <v>0</v>
      </c>
      <c r="Q243" s="363">
        <v>0</v>
      </c>
      <c r="R243" s="363">
        <v>0</v>
      </c>
      <c r="S243" s="363">
        <v>0</v>
      </c>
      <c r="T243" s="363">
        <v>0</v>
      </c>
      <c r="U243" s="363">
        <v>0</v>
      </c>
      <c r="V243" s="363">
        <v>0</v>
      </c>
      <c r="W243" s="363">
        <v>0</v>
      </c>
      <c r="X243" s="363">
        <v>0</v>
      </c>
      <c r="Y243" s="398">
        <v>0</v>
      </c>
      <c r="Z243" s="314">
        <f t="shared" si="124"/>
        <v>0</v>
      </c>
      <c r="AA243" s="316">
        <f t="shared" si="125"/>
        <v>0</v>
      </c>
      <c r="AB243" s="1054">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1055">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334">
        <f t="shared" si="126"/>
        <v>0</v>
      </c>
      <c r="AE243" s="1043">
        <f t="shared" si="127"/>
        <v>0</v>
      </c>
      <c r="AF243" s="1043">
        <f t="shared" si="128"/>
        <v>0</v>
      </c>
      <c r="AG243" s="1043">
        <f t="shared" si="129"/>
        <v>0</v>
      </c>
      <c r="AH243" s="1280">
        <f t="shared" si="130"/>
        <v>0</v>
      </c>
      <c r="AI243" s="1043">
        <f t="shared" si="131"/>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22"/>
        <v>0</v>
      </c>
      <c r="N244" s="316">
        <f t="shared" si="123"/>
        <v>0</v>
      </c>
      <c r="O244" s="362">
        <v>0</v>
      </c>
      <c r="P244" s="363">
        <v>0</v>
      </c>
      <c r="Q244" s="363">
        <v>0</v>
      </c>
      <c r="R244" s="363">
        <v>0</v>
      </c>
      <c r="S244" s="363">
        <v>0</v>
      </c>
      <c r="T244" s="363">
        <v>0</v>
      </c>
      <c r="U244" s="363">
        <v>0</v>
      </c>
      <c r="V244" s="363">
        <v>0</v>
      </c>
      <c r="W244" s="363">
        <v>0</v>
      </c>
      <c r="X244" s="363">
        <v>0</v>
      </c>
      <c r="Y244" s="398">
        <v>0</v>
      </c>
      <c r="Z244" s="314">
        <f t="shared" si="124"/>
        <v>0</v>
      </c>
      <c r="AA244" s="316">
        <f t="shared" si="125"/>
        <v>0</v>
      </c>
      <c r="AB244" s="1054">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1055">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334">
        <f t="shared" si="126"/>
        <v>0</v>
      </c>
      <c r="AE244" s="1043">
        <f t="shared" si="127"/>
        <v>0</v>
      </c>
      <c r="AF244" s="1043">
        <f t="shared" si="128"/>
        <v>0</v>
      </c>
      <c r="AG244" s="1043">
        <f t="shared" si="129"/>
        <v>0</v>
      </c>
      <c r="AH244" s="1280">
        <f t="shared" si="130"/>
        <v>0</v>
      </c>
      <c r="AI244" s="1043">
        <f t="shared" si="131"/>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22"/>
        <v>0</v>
      </c>
      <c r="N245" s="316">
        <f t="shared" si="123"/>
        <v>0</v>
      </c>
      <c r="O245" s="362">
        <v>0</v>
      </c>
      <c r="P245" s="363">
        <v>0</v>
      </c>
      <c r="Q245" s="363">
        <v>0</v>
      </c>
      <c r="R245" s="363">
        <v>0</v>
      </c>
      <c r="S245" s="363">
        <v>0</v>
      </c>
      <c r="T245" s="363">
        <v>0</v>
      </c>
      <c r="U245" s="363">
        <v>0</v>
      </c>
      <c r="V245" s="363">
        <v>0</v>
      </c>
      <c r="W245" s="363">
        <v>0</v>
      </c>
      <c r="X245" s="363">
        <v>0</v>
      </c>
      <c r="Y245" s="398">
        <v>0</v>
      </c>
      <c r="Z245" s="314">
        <f t="shared" si="124"/>
        <v>0</v>
      </c>
      <c r="AA245" s="316">
        <f t="shared" si="125"/>
        <v>0</v>
      </c>
      <c r="AB245" s="1054">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1055">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334">
        <f t="shared" si="126"/>
        <v>0</v>
      </c>
      <c r="AE245" s="1043">
        <f t="shared" si="127"/>
        <v>0</v>
      </c>
      <c r="AF245" s="1043">
        <f t="shared" si="128"/>
        <v>0</v>
      </c>
      <c r="AG245" s="1043">
        <f t="shared" si="129"/>
        <v>0</v>
      </c>
      <c r="AH245" s="1280">
        <f t="shared" si="130"/>
        <v>0</v>
      </c>
      <c r="AI245" s="1043">
        <f t="shared" si="131"/>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22"/>
        <v>0</v>
      </c>
      <c r="N246" s="330">
        <f t="shared" si="123"/>
        <v>0</v>
      </c>
      <c r="O246" s="364">
        <v>0</v>
      </c>
      <c r="P246" s="365">
        <v>0</v>
      </c>
      <c r="Q246" s="365">
        <v>0</v>
      </c>
      <c r="R246" s="365">
        <v>0</v>
      </c>
      <c r="S246" s="365">
        <v>0</v>
      </c>
      <c r="T246" s="365">
        <v>0</v>
      </c>
      <c r="U246" s="365">
        <v>0</v>
      </c>
      <c r="V246" s="365">
        <v>0</v>
      </c>
      <c r="W246" s="365">
        <v>0</v>
      </c>
      <c r="X246" s="365">
        <v>0</v>
      </c>
      <c r="Y246" s="399">
        <v>0</v>
      </c>
      <c r="Z246" s="328">
        <f t="shared" si="124"/>
        <v>0</v>
      </c>
      <c r="AA246" s="330">
        <f t="shared" si="125"/>
        <v>0</v>
      </c>
      <c r="AB246" s="1054">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1055">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334">
        <f t="shared" si="126"/>
        <v>0</v>
      </c>
      <c r="AE246" s="1043">
        <f t="shared" si="127"/>
        <v>0</v>
      </c>
      <c r="AF246" s="1043">
        <f t="shared" si="128"/>
        <v>0</v>
      </c>
      <c r="AG246" s="1043">
        <f t="shared" si="129"/>
        <v>0</v>
      </c>
      <c r="AH246" s="1280">
        <f t="shared" si="130"/>
        <v>0</v>
      </c>
      <c r="AI246" s="1043">
        <f t="shared" si="131"/>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22"/>
        <v>0</v>
      </c>
      <c r="N247" s="302">
        <f t="shared" si="123"/>
        <v>0</v>
      </c>
      <c r="O247" s="360">
        <v>0</v>
      </c>
      <c r="P247" s="361">
        <v>0</v>
      </c>
      <c r="Q247" s="361">
        <v>0</v>
      </c>
      <c r="R247" s="361">
        <v>0</v>
      </c>
      <c r="S247" s="361">
        <v>0</v>
      </c>
      <c r="T247" s="361">
        <v>0</v>
      </c>
      <c r="U247" s="361">
        <v>0</v>
      </c>
      <c r="V247" s="361">
        <v>0</v>
      </c>
      <c r="W247" s="361">
        <v>0</v>
      </c>
      <c r="X247" s="361">
        <v>0</v>
      </c>
      <c r="Y247" s="397">
        <v>0</v>
      </c>
      <c r="Z247" s="300">
        <f t="shared" si="124"/>
        <v>0</v>
      </c>
      <c r="AA247" s="302">
        <f t="shared" si="125"/>
        <v>0</v>
      </c>
      <c r="AB247" s="1054">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1055">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334">
        <f t="shared" si="126"/>
        <v>0</v>
      </c>
      <c r="AE247" s="1043">
        <f t="shared" si="127"/>
        <v>0</v>
      </c>
      <c r="AF247" s="1043">
        <f t="shared" si="128"/>
        <v>0</v>
      </c>
      <c r="AG247" s="1043">
        <f t="shared" si="129"/>
        <v>0</v>
      </c>
      <c r="AH247" s="1280">
        <f t="shared" si="130"/>
        <v>0</v>
      </c>
      <c r="AI247" s="1043">
        <f t="shared" si="131"/>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22"/>
        <v>0</v>
      </c>
      <c r="N248" s="316">
        <f t="shared" si="123"/>
        <v>0</v>
      </c>
      <c r="O248" s="362">
        <v>0</v>
      </c>
      <c r="P248" s="363">
        <v>0</v>
      </c>
      <c r="Q248" s="363">
        <v>0</v>
      </c>
      <c r="R248" s="363">
        <v>0</v>
      </c>
      <c r="S248" s="363">
        <v>0</v>
      </c>
      <c r="T248" s="363">
        <v>0</v>
      </c>
      <c r="U248" s="363">
        <v>0</v>
      </c>
      <c r="V248" s="363">
        <v>0</v>
      </c>
      <c r="W248" s="363">
        <v>0</v>
      </c>
      <c r="X248" s="363">
        <v>0</v>
      </c>
      <c r="Y248" s="398">
        <v>0</v>
      </c>
      <c r="Z248" s="314">
        <f t="shared" si="124"/>
        <v>0</v>
      </c>
      <c r="AA248" s="316">
        <f t="shared" si="125"/>
        <v>0</v>
      </c>
      <c r="AB248" s="1054">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1055">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334">
        <f t="shared" si="126"/>
        <v>0</v>
      </c>
      <c r="AE248" s="1043">
        <f>SUMPRODUCT($B$74:$L$74,B248:L248)</f>
        <v>0</v>
      </c>
      <c r="AF248" s="1043">
        <f>SUMPRODUCT($O$74:$Y$74,O248:Y248)</f>
        <v>0</v>
      </c>
      <c r="AG248" s="1043">
        <f>SUM(AE248:AF248)</f>
        <v>0</v>
      </c>
      <c r="AH248" s="1280">
        <f t="shared" si="130"/>
        <v>0</v>
      </c>
      <c r="AI248" s="1043">
        <f t="shared" si="131"/>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22"/>
        <v>0</v>
      </c>
      <c r="N249" s="316">
        <f t="shared" si="123"/>
        <v>0</v>
      </c>
      <c r="O249" s="362">
        <v>0</v>
      </c>
      <c r="P249" s="363">
        <v>0</v>
      </c>
      <c r="Q249" s="363">
        <v>0</v>
      </c>
      <c r="R249" s="363">
        <v>0</v>
      </c>
      <c r="S249" s="363">
        <v>0</v>
      </c>
      <c r="T249" s="363">
        <v>0</v>
      </c>
      <c r="U249" s="363">
        <v>0</v>
      </c>
      <c r="V249" s="363">
        <v>0</v>
      </c>
      <c r="W249" s="363">
        <v>0</v>
      </c>
      <c r="X249" s="363">
        <v>0</v>
      </c>
      <c r="Y249" s="398">
        <v>0</v>
      </c>
      <c r="Z249" s="314">
        <f t="shared" si="124"/>
        <v>0</v>
      </c>
      <c r="AA249" s="316">
        <f t="shared" si="125"/>
        <v>0</v>
      </c>
      <c r="AB249" s="1054">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1055">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334">
        <f t="shared" si="126"/>
        <v>0</v>
      </c>
      <c r="AE249" s="1043">
        <f t="shared" ref="AE249:AE276" si="132">SUMPRODUCT($B$74:$L$74,B249:L249)</f>
        <v>0</v>
      </c>
      <c r="AF249" s="1043">
        <f t="shared" ref="AF249:AF276" si="133">SUMPRODUCT($O$74:$Y$74,O249:Y249)</f>
        <v>0</v>
      </c>
      <c r="AG249" s="1043">
        <f t="shared" ref="AG249:AG276" si="134">SUM(AE249:AF249)</f>
        <v>0</v>
      </c>
      <c r="AH249" s="1280">
        <f t="shared" si="130"/>
        <v>0</v>
      </c>
      <c r="AI249" s="1043">
        <f t="shared" si="131"/>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22"/>
        <v>0</v>
      </c>
      <c r="N250" s="316">
        <f t="shared" si="123"/>
        <v>0</v>
      </c>
      <c r="O250" s="362">
        <v>0</v>
      </c>
      <c r="P250" s="363">
        <v>0</v>
      </c>
      <c r="Q250" s="363">
        <v>0</v>
      </c>
      <c r="R250" s="363">
        <v>0</v>
      </c>
      <c r="S250" s="363">
        <v>0</v>
      </c>
      <c r="T250" s="363">
        <v>0</v>
      </c>
      <c r="U250" s="363">
        <v>0</v>
      </c>
      <c r="V250" s="363">
        <v>0</v>
      </c>
      <c r="W250" s="363">
        <v>0</v>
      </c>
      <c r="X250" s="363">
        <v>0</v>
      </c>
      <c r="Y250" s="398">
        <v>0</v>
      </c>
      <c r="Z250" s="314">
        <f t="shared" si="124"/>
        <v>0</v>
      </c>
      <c r="AA250" s="316">
        <f t="shared" si="125"/>
        <v>0</v>
      </c>
      <c r="AB250" s="1054">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1055">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334">
        <f t="shared" si="126"/>
        <v>0</v>
      </c>
      <c r="AE250" s="1043">
        <f t="shared" si="132"/>
        <v>0</v>
      </c>
      <c r="AF250" s="1043">
        <f t="shared" si="133"/>
        <v>0</v>
      </c>
      <c r="AG250" s="1043">
        <f t="shared" si="134"/>
        <v>0</v>
      </c>
      <c r="AH250" s="1280">
        <f t="shared" si="130"/>
        <v>0</v>
      </c>
      <c r="AI250" s="1043">
        <f t="shared" si="131"/>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22"/>
        <v>0</v>
      </c>
      <c r="N251" s="330">
        <f t="shared" si="123"/>
        <v>0</v>
      </c>
      <c r="O251" s="364">
        <v>0</v>
      </c>
      <c r="P251" s="365">
        <v>0</v>
      </c>
      <c r="Q251" s="365">
        <v>0</v>
      </c>
      <c r="R251" s="365">
        <v>0</v>
      </c>
      <c r="S251" s="365">
        <v>0</v>
      </c>
      <c r="T251" s="365">
        <v>0</v>
      </c>
      <c r="U251" s="365">
        <v>0</v>
      </c>
      <c r="V251" s="365">
        <v>0</v>
      </c>
      <c r="W251" s="365">
        <v>0</v>
      </c>
      <c r="X251" s="365">
        <v>0</v>
      </c>
      <c r="Y251" s="399">
        <v>0</v>
      </c>
      <c r="Z251" s="328">
        <f t="shared" si="124"/>
        <v>0</v>
      </c>
      <c r="AA251" s="330">
        <f t="shared" si="125"/>
        <v>0</v>
      </c>
      <c r="AB251" s="1054">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1055">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334">
        <f t="shared" si="126"/>
        <v>0</v>
      </c>
      <c r="AE251" s="1043">
        <f t="shared" si="132"/>
        <v>0</v>
      </c>
      <c r="AF251" s="1043">
        <f t="shared" si="133"/>
        <v>0</v>
      </c>
      <c r="AG251" s="1043">
        <f t="shared" si="134"/>
        <v>0</v>
      </c>
      <c r="AH251" s="1280">
        <f t="shared" si="130"/>
        <v>0</v>
      </c>
      <c r="AI251" s="1043">
        <f t="shared" si="131"/>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22"/>
        <v>0</v>
      </c>
      <c r="N252" s="302">
        <f t="shared" si="123"/>
        <v>0</v>
      </c>
      <c r="O252" s="360">
        <v>0</v>
      </c>
      <c r="P252" s="361">
        <v>0</v>
      </c>
      <c r="Q252" s="361">
        <v>0</v>
      </c>
      <c r="R252" s="361">
        <v>0</v>
      </c>
      <c r="S252" s="361">
        <v>0</v>
      </c>
      <c r="T252" s="361">
        <v>0</v>
      </c>
      <c r="U252" s="361">
        <v>0</v>
      </c>
      <c r="V252" s="361">
        <v>0</v>
      </c>
      <c r="W252" s="361">
        <v>0</v>
      </c>
      <c r="X252" s="361">
        <v>0</v>
      </c>
      <c r="Y252" s="397">
        <v>0</v>
      </c>
      <c r="Z252" s="300">
        <f t="shared" si="124"/>
        <v>0</v>
      </c>
      <c r="AA252" s="302">
        <f t="shared" si="125"/>
        <v>0</v>
      </c>
      <c r="AB252" s="1054">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1055">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334">
        <f t="shared" si="126"/>
        <v>0</v>
      </c>
      <c r="AE252" s="1043">
        <f t="shared" si="132"/>
        <v>0</v>
      </c>
      <c r="AF252" s="1043">
        <f t="shared" si="133"/>
        <v>0</v>
      </c>
      <c r="AG252" s="1043">
        <f t="shared" si="134"/>
        <v>0</v>
      </c>
      <c r="AH252" s="1280">
        <f t="shared" si="130"/>
        <v>0</v>
      </c>
      <c r="AI252" s="1043">
        <f t="shared" si="131"/>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22"/>
        <v>0</v>
      </c>
      <c r="N253" s="316">
        <f t="shared" si="123"/>
        <v>0</v>
      </c>
      <c r="O253" s="362">
        <v>0</v>
      </c>
      <c r="P253" s="363">
        <v>0</v>
      </c>
      <c r="Q253" s="363">
        <v>0</v>
      </c>
      <c r="R253" s="363">
        <v>0</v>
      </c>
      <c r="S253" s="363">
        <v>0</v>
      </c>
      <c r="T253" s="363">
        <v>0</v>
      </c>
      <c r="U253" s="363">
        <v>0</v>
      </c>
      <c r="V253" s="363">
        <v>0</v>
      </c>
      <c r="W253" s="363">
        <v>0</v>
      </c>
      <c r="X253" s="363">
        <v>0</v>
      </c>
      <c r="Y253" s="398">
        <v>0</v>
      </c>
      <c r="Z253" s="314">
        <f t="shared" si="124"/>
        <v>0</v>
      </c>
      <c r="AA253" s="316">
        <f t="shared" si="125"/>
        <v>0</v>
      </c>
      <c r="AB253" s="1054">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1055">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334">
        <f t="shared" si="126"/>
        <v>0</v>
      </c>
      <c r="AE253" s="1043">
        <f t="shared" si="132"/>
        <v>0</v>
      </c>
      <c r="AF253" s="1043">
        <f t="shared" si="133"/>
        <v>0</v>
      </c>
      <c r="AG253" s="1043">
        <f t="shared" si="134"/>
        <v>0</v>
      </c>
      <c r="AH253" s="1280">
        <f t="shared" si="130"/>
        <v>0</v>
      </c>
      <c r="AI253" s="1043">
        <f t="shared" si="131"/>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22"/>
        <v>0</v>
      </c>
      <c r="N254" s="316">
        <f t="shared" si="123"/>
        <v>0</v>
      </c>
      <c r="O254" s="362">
        <v>0</v>
      </c>
      <c r="P254" s="363">
        <v>0</v>
      </c>
      <c r="Q254" s="363">
        <v>0</v>
      </c>
      <c r="R254" s="363">
        <v>0</v>
      </c>
      <c r="S254" s="363">
        <v>0</v>
      </c>
      <c r="T254" s="363">
        <v>0</v>
      </c>
      <c r="U254" s="363">
        <v>0</v>
      </c>
      <c r="V254" s="363">
        <v>0</v>
      </c>
      <c r="W254" s="363">
        <v>0</v>
      </c>
      <c r="X254" s="363">
        <v>0</v>
      </c>
      <c r="Y254" s="398">
        <v>0</v>
      </c>
      <c r="Z254" s="314">
        <f t="shared" si="124"/>
        <v>0</v>
      </c>
      <c r="AA254" s="316">
        <f t="shared" si="125"/>
        <v>0</v>
      </c>
      <c r="AB254" s="1054">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1055">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334">
        <f t="shared" si="126"/>
        <v>0</v>
      </c>
      <c r="AE254" s="1043">
        <f t="shared" si="132"/>
        <v>0</v>
      </c>
      <c r="AF254" s="1043">
        <f t="shared" si="133"/>
        <v>0</v>
      </c>
      <c r="AG254" s="1043">
        <f t="shared" si="134"/>
        <v>0</v>
      </c>
      <c r="AH254" s="1280">
        <f t="shared" si="130"/>
        <v>0</v>
      </c>
      <c r="AI254" s="1043">
        <f t="shared" si="131"/>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22"/>
        <v>0</v>
      </c>
      <c r="N255" s="316">
        <f t="shared" si="123"/>
        <v>0</v>
      </c>
      <c r="O255" s="362">
        <v>0</v>
      </c>
      <c r="P255" s="363">
        <v>0</v>
      </c>
      <c r="Q255" s="363">
        <v>0</v>
      </c>
      <c r="R255" s="363">
        <v>0</v>
      </c>
      <c r="S255" s="363">
        <v>0</v>
      </c>
      <c r="T255" s="363">
        <v>0</v>
      </c>
      <c r="U255" s="363">
        <v>0</v>
      </c>
      <c r="V255" s="363">
        <v>0</v>
      </c>
      <c r="W255" s="363">
        <v>0</v>
      </c>
      <c r="X255" s="363">
        <v>0</v>
      </c>
      <c r="Y255" s="398">
        <v>0</v>
      </c>
      <c r="Z255" s="314">
        <f t="shared" si="124"/>
        <v>0</v>
      </c>
      <c r="AA255" s="316">
        <f t="shared" si="125"/>
        <v>0</v>
      </c>
      <c r="AB255" s="1054">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1055">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334">
        <f t="shared" si="126"/>
        <v>0</v>
      </c>
      <c r="AE255" s="1043">
        <f t="shared" si="132"/>
        <v>0</v>
      </c>
      <c r="AF255" s="1043">
        <f t="shared" si="133"/>
        <v>0</v>
      </c>
      <c r="AG255" s="1043">
        <f t="shared" si="134"/>
        <v>0</v>
      </c>
      <c r="AH255" s="1280">
        <f t="shared" si="130"/>
        <v>0</v>
      </c>
      <c r="AI255" s="1043">
        <f t="shared" si="131"/>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22"/>
        <v>0</v>
      </c>
      <c r="N256" s="330">
        <f t="shared" si="123"/>
        <v>0</v>
      </c>
      <c r="O256" s="364">
        <v>0</v>
      </c>
      <c r="P256" s="365">
        <v>0</v>
      </c>
      <c r="Q256" s="365">
        <v>0</v>
      </c>
      <c r="R256" s="365">
        <v>0</v>
      </c>
      <c r="S256" s="365">
        <v>0</v>
      </c>
      <c r="T256" s="365">
        <v>0</v>
      </c>
      <c r="U256" s="365">
        <v>0</v>
      </c>
      <c r="V256" s="365">
        <v>0</v>
      </c>
      <c r="W256" s="365">
        <v>0</v>
      </c>
      <c r="X256" s="365">
        <v>0</v>
      </c>
      <c r="Y256" s="399">
        <v>0</v>
      </c>
      <c r="Z256" s="328">
        <f t="shared" si="124"/>
        <v>0</v>
      </c>
      <c r="AA256" s="330">
        <f t="shared" si="125"/>
        <v>0</v>
      </c>
      <c r="AB256" s="1054">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1055">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334">
        <f t="shared" si="126"/>
        <v>0</v>
      </c>
      <c r="AE256" s="1043">
        <f t="shared" si="132"/>
        <v>0</v>
      </c>
      <c r="AF256" s="1043">
        <f t="shared" si="133"/>
        <v>0</v>
      </c>
      <c r="AG256" s="1043">
        <f t="shared" si="134"/>
        <v>0</v>
      </c>
      <c r="AH256" s="1280">
        <f t="shared" si="130"/>
        <v>0</v>
      </c>
      <c r="AI256" s="1043">
        <f t="shared" si="131"/>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22"/>
        <v>0</v>
      </c>
      <c r="N257" s="302">
        <f t="shared" si="123"/>
        <v>0</v>
      </c>
      <c r="O257" s="360">
        <v>0</v>
      </c>
      <c r="P257" s="361">
        <v>0</v>
      </c>
      <c r="Q257" s="361">
        <v>0</v>
      </c>
      <c r="R257" s="361">
        <v>0</v>
      </c>
      <c r="S257" s="361">
        <v>0</v>
      </c>
      <c r="T257" s="361">
        <v>0</v>
      </c>
      <c r="U257" s="361">
        <v>0</v>
      </c>
      <c r="V257" s="361">
        <v>0</v>
      </c>
      <c r="W257" s="361">
        <v>0</v>
      </c>
      <c r="X257" s="361">
        <v>0</v>
      </c>
      <c r="Y257" s="397">
        <v>0</v>
      </c>
      <c r="Z257" s="300">
        <f t="shared" si="124"/>
        <v>0</v>
      </c>
      <c r="AA257" s="302">
        <f t="shared" si="125"/>
        <v>0</v>
      </c>
      <c r="AB257" s="1054">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1055">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334">
        <f t="shared" si="126"/>
        <v>0</v>
      </c>
      <c r="AE257" s="1043">
        <f t="shared" si="132"/>
        <v>0</v>
      </c>
      <c r="AF257" s="1043">
        <f t="shared" si="133"/>
        <v>0</v>
      </c>
      <c r="AG257" s="1043">
        <f t="shared" si="134"/>
        <v>0</v>
      </c>
      <c r="AH257" s="1280">
        <f t="shared" si="130"/>
        <v>0</v>
      </c>
      <c r="AI257" s="1043">
        <f t="shared" si="131"/>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22"/>
        <v>0</v>
      </c>
      <c r="N258" s="316">
        <f t="shared" si="123"/>
        <v>0</v>
      </c>
      <c r="O258" s="362">
        <v>0</v>
      </c>
      <c r="P258" s="363">
        <v>0</v>
      </c>
      <c r="Q258" s="363">
        <v>0</v>
      </c>
      <c r="R258" s="363">
        <v>0</v>
      </c>
      <c r="S258" s="363">
        <v>0</v>
      </c>
      <c r="T258" s="363">
        <v>0</v>
      </c>
      <c r="U258" s="363">
        <v>0</v>
      </c>
      <c r="V258" s="363">
        <v>0</v>
      </c>
      <c r="W258" s="363">
        <v>0</v>
      </c>
      <c r="X258" s="363">
        <v>0</v>
      </c>
      <c r="Y258" s="398">
        <v>0</v>
      </c>
      <c r="Z258" s="314">
        <f t="shared" si="124"/>
        <v>0</v>
      </c>
      <c r="AA258" s="316">
        <f t="shared" si="125"/>
        <v>0</v>
      </c>
      <c r="AB258" s="1054">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1055">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334">
        <f t="shared" si="126"/>
        <v>0</v>
      </c>
      <c r="AE258" s="1043">
        <f t="shared" si="132"/>
        <v>0</v>
      </c>
      <c r="AF258" s="1043">
        <f t="shared" si="133"/>
        <v>0</v>
      </c>
      <c r="AG258" s="1043">
        <f t="shared" si="134"/>
        <v>0</v>
      </c>
      <c r="AH258" s="1280">
        <f t="shared" si="130"/>
        <v>0</v>
      </c>
      <c r="AI258" s="1043">
        <f t="shared" si="131"/>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22"/>
        <v>0</v>
      </c>
      <c r="N259" s="316">
        <f t="shared" si="123"/>
        <v>0</v>
      </c>
      <c r="O259" s="362">
        <v>0</v>
      </c>
      <c r="P259" s="363">
        <v>0</v>
      </c>
      <c r="Q259" s="363">
        <v>0</v>
      </c>
      <c r="R259" s="363">
        <v>0</v>
      </c>
      <c r="S259" s="363">
        <v>0</v>
      </c>
      <c r="T259" s="363">
        <v>0</v>
      </c>
      <c r="U259" s="363">
        <v>0</v>
      </c>
      <c r="V259" s="363">
        <v>0</v>
      </c>
      <c r="W259" s="363">
        <v>0</v>
      </c>
      <c r="X259" s="363">
        <v>0</v>
      </c>
      <c r="Y259" s="398">
        <v>0</v>
      </c>
      <c r="Z259" s="314">
        <f t="shared" si="124"/>
        <v>0</v>
      </c>
      <c r="AA259" s="316">
        <f t="shared" si="125"/>
        <v>0</v>
      </c>
      <c r="AB259" s="1054">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1055">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334">
        <f>AB259*AH259+AC259*AI259</f>
        <v>0</v>
      </c>
      <c r="AE259" s="1043">
        <f t="shared" si="132"/>
        <v>0</v>
      </c>
      <c r="AF259" s="1043">
        <f t="shared" si="133"/>
        <v>0</v>
      </c>
      <c r="AG259" s="1043">
        <f t="shared" si="134"/>
        <v>0</v>
      </c>
      <c r="AH259" s="1280">
        <f t="shared" si="130"/>
        <v>0</v>
      </c>
      <c r="AI259" s="1043">
        <f t="shared" si="131"/>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22"/>
        <v>0</v>
      </c>
      <c r="N260" s="316">
        <f t="shared" si="123"/>
        <v>0</v>
      </c>
      <c r="O260" s="362">
        <v>0</v>
      </c>
      <c r="P260" s="363">
        <v>0</v>
      </c>
      <c r="Q260" s="363">
        <v>0</v>
      </c>
      <c r="R260" s="363">
        <v>0</v>
      </c>
      <c r="S260" s="363">
        <v>0</v>
      </c>
      <c r="T260" s="363">
        <v>0</v>
      </c>
      <c r="U260" s="363">
        <v>0</v>
      </c>
      <c r="V260" s="363">
        <v>0</v>
      </c>
      <c r="W260" s="363">
        <v>0</v>
      </c>
      <c r="X260" s="363">
        <v>0</v>
      </c>
      <c r="Y260" s="398">
        <v>0</v>
      </c>
      <c r="Z260" s="314">
        <f t="shared" si="124"/>
        <v>0</v>
      </c>
      <c r="AA260" s="316">
        <f t="shared" si="125"/>
        <v>0</v>
      </c>
      <c r="AB260" s="1054">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1055">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334">
        <f t="shared" ref="AD260:AD276" si="135">AB260*AH260+AC260*AI260</f>
        <v>0</v>
      </c>
      <c r="AE260" s="1043">
        <f t="shared" si="132"/>
        <v>0</v>
      </c>
      <c r="AF260" s="1043">
        <f t="shared" si="133"/>
        <v>0</v>
      </c>
      <c r="AG260" s="1043">
        <f t="shared" si="134"/>
        <v>0</v>
      </c>
      <c r="AH260" s="1280">
        <f t="shared" si="130"/>
        <v>0</v>
      </c>
      <c r="AI260" s="1043">
        <f t="shared" si="131"/>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22"/>
        <v>0</v>
      </c>
      <c r="N261" s="330">
        <f t="shared" si="123"/>
        <v>0</v>
      </c>
      <c r="O261" s="364">
        <v>0</v>
      </c>
      <c r="P261" s="365">
        <v>0</v>
      </c>
      <c r="Q261" s="365">
        <v>0</v>
      </c>
      <c r="R261" s="365">
        <v>0</v>
      </c>
      <c r="S261" s="365">
        <v>0</v>
      </c>
      <c r="T261" s="365">
        <v>0</v>
      </c>
      <c r="U261" s="365">
        <v>0</v>
      </c>
      <c r="V261" s="365">
        <v>0</v>
      </c>
      <c r="W261" s="365">
        <v>0</v>
      </c>
      <c r="X261" s="365">
        <v>0</v>
      </c>
      <c r="Y261" s="399">
        <v>0</v>
      </c>
      <c r="Z261" s="328">
        <f t="shared" si="124"/>
        <v>0</v>
      </c>
      <c r="AA261" s="330">
        <f t="shared" si="125"/>
        <v>0</v>
      </c>
      <c r="AB261" s="1054">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1055">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334">
        <f t="shared" si="135"/>
        <v>0</v>
      </c>
      <c r="AE261" s="1043">
        <f t="shared" si="132"/>
        <v>0</v>
      </c>
      <c r="AF261" s="1043">
        <f t="shared" si="133"/>
        <v>0</v>
      </c>
      <c r="AG261" s="1043">
        <f t="shared" si="134"/>
        <v>0</v>
      </c>
      <c r="AH261" s="1280">
        <f t="shared" si="130"/>
        <v>0</v>
      </c>
      <c r="AI261" s="1043">
        <f t="shared" si="131"/>
        <v>0</v>
      </c>
    </row>
    <row r="262" spans="1:35" x14ac:dyDescent="0.2">
      <c r="A262" s="347">
        <v>2036</v>
      </c>
      <c r="B262" s="360">
        <v>0</v>
      </c>
      <c r="C262" s="361">
        <v>0</v>
      </c>
      <c r="D262" s="361">
        <v>0</v>
      </c>
      <c r="E262" s="361">
        <v>0</v>
      </c>
      <c r="F262" s="361">
        <v>0</v>
      </c>
      <c r="G262" s="361">
        <v>0</v>
      </c>
      <c r="H262" s="361">
        <v>0</v>
      </c>
      <c r="I262" s="361">
        <v>0</v>
      </c>
      <c r="J262" s="361">
        <v>0</v>
      </c>
      <c r="K262" s="361">
        <v>0</v>
      </c>
      <c r="L262" s="397">
        <v>9.588921586431651E-5</v>
      </c>
      <c r="M262" s="300">
        <f t="shared" si="122"/>
        <v>1.5296670539333401E-6</v>
      </c>
      <c r="N262" s="302">
        <f t="shared" si="123"/>
        <v>7.2072589040673436E-7</v>
      </c>
      <c r="O262" s="360">
        <v>0</v>
      </c>
      <c r="P262" s="361">
        <v>0</v>
      </c>
      <c r="Q262" s="361">
        <v>0</v>
      </c>
      <c r="R262" s="361">
        <v>0</v>
      </c>
      <c r="S262" s="361">
        <v>0</v>
      </c>
      <c r="T262" s="361">
        <v>0</v>
      </c>
      <c r="U262" s="361">
        <v>0</v>
      </c>
      <c r="V262" s="361">
        <v>0</v>
      </c>
      <c r="W262" s="361">
        <v>0</v>
      </c>
      <c r="X262" s="361">
        <v>0</v>
      </c>
      <c r="Y262" s="397">
        <v>4.8258144750879911E-4</v>
      </c>
      <c r="Z262" s="300">
        <f t="shared" si="124"/>
        <v>2.4481855928197959E-5</v>
      </c>
      <c r="AA262" s="302">
        <f t="shared" si="125"/>
        <v>1.2488912258593561E-5</v>
      </c>
      <c r="AB262" s="1054">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1055">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334">
        <f t="shared" si="135"/>
        <v>0.30159994361228709</v>
      </c>
      <c r="AE262" s="1043">
        <f t="shared" si="132"/>
        <v>1.5296670539333401E-6</v>
      </c>
      <c r="AF262" s="1043">
        <f t="shared" si="133"/>
        <v>2.4481855928197959E-5</v>
      </c>
      <c r="AG262" s="1043">
        <f t="shared" si="134"/>
        <v>2.6011522982131297E-5</v>
      </c>
      <c r="AH262" s="1280">
        <f t="shared" si="130"/>
        <v>5.8807285332125689E-2</v>
      </c>
      <c r="AI262" s="1043">
        <f t="shared" si="131"/>
        <v>0.94119271466787435</v>
      </c>
    </row>
    <row r="263" spans="1:35" x14ac:dyDescent="0.2">
      <c r="A263" s="348">
        <v>2037</v>
      </c>
      <c r="B263" s="362">
        <v>0</v>
      </c>
      <c r="C263" s="363">
        <v>0</v>
      </c>
      <c r="D263" s="363">
        <v>0</v>
      </c>
      <c r="E263" s="363">
        <v>0</v>
      </c>
      <c r="F263" s="363">
        <v>0</v>
      </c>
      <c r="G263" s="363">
        <v>0</v>
      </c>
      <c r="H263" s="363">
        <v>0</v>
      </c>
      <c r="I263" s="363">
        <v>0</v>
      </c>
      <c r="J263" s="363">
        <v>0</v>
      </c>
      <c r="K263" s="363">
        <v>0</v>
      </c>
      <c r="L263" s="398">
        <v>4.087185537192352E-4</v>
      </c>
      <c r="M263" s="314">
        <f t="shared" si="122"/>
        <v>6.5200585938700592E-6</v>
      </c>
      <c r="N263" s="316">
        <f t="shared" si="123"/>
        <v>3.0720247412584071E-6</v>
      </c>
      <c r="O263" s="362">
        <v>0</v>
      </c>
      <c r="P263" s="363">
        <v>0</v>
      </c>
      <c r="Q263" s="363">
        <v>0</v>
      </c>
      <c r="R263" s="363">
        <v>0</v>
      </c>
      <c r="S263" s="363">
        <v>0</v>
      </c>
      <c r="T263" s="363">
        <v>0</v>
      </c>
      <c r="U263" s="363">
        <v>0</v>
      </c>
      <c r="V263" s="363">
        <v>0</v>
      </c>
      <c r="W263" s="363">
        <v>0</v>
      </c>
      <c r="X263" s="363">
        <v>0</v>
      </c>
      <c r="Y263" s="398">
        <v>1.5204709924332136E-3</v>
      </c>
      <c r="Z263" s="314">
        <f t="shared" si="124"/>
        <v>7.7135065949826803E-5</v>
      </c>
      <c r="AA263" s="316">
        <f t="shared" si="125"/>
        <v>3.9348857927011053E-5</v>
      </c>
      <c r="AB263" s="1054">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1055">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334">
        <f t="shared" si="135"/>
        <v>0.3013491444101899</v>
      </c>
      <c r="AE263" s="1043">
        <f t="shared" si="132"/>
        <v>6.5200585938700592E-6</v>
      </c>
      <c r="AF263" s="1043">
        <f t="shared" si="133"/>
        <v>7.7135065949826803E-5</v>
      </c>
      <c r="AG263" s="1043">
        <f t="shared" si="134"/>
        <v>8.3655124543696859E-5</v>
      </c>
      <c r="AH263" s="1280">
        <f t="shared" si="130"/>
        <v>7.7939739250096243E-2</v>
      </c>
      <c r="AI263" s="1043">
        <f t="shared" si="131"/>
        <v>0.92206026074990377</v>
      </c>
    </row>
    <row r="264" spans="1:35" x14ac:dyDescent="0.2">
      <c r="A264" s="348">
        <v>2038</v>
      </c>
      <c r="B264" s="362">
        <v>0</v>
      </c>
      <c r="C264" s="363">
        <v>0</v>
      </c>
      <c r="D264" s="363">
        <v>0</v>
      </c>
      <c r="E264" s="363">
        <v>0</v>
      </c>
      <c r="F264" s="363">
        <v>0</v>
      </c>
      <c r="G264" s="363">
        <v>0</v>
      </c>
      <c r="H264" s="363">
        <v>0</v>
      </c>
      <c r="I264" s="363">
        <v>0</v>
      </c>
      <c r="J264" s="363">
        <v>0</v>
      </c>
      <c r="K264" s="363">
        <v>0</v>
      </c>
      <c r="L264" s="398">
        <v>2.802338682227712E-3</v>
      </c>
      <c r="M264" s="314">
        <f t="shared" si="122"/>
        <v>4.4704142353529271E-5</v>
      </c>
      <c r="N264" s="316">
        <f t="shared" si="123"/>
        <v>2.1063036377601714E-5</v>
      </c>
      <c r="O264" s="362">
        <v>0</v>
      </c>
      <c r="P264" s="363">
        <v>0</v>
      </c>
      <c r="Q264" s="363">
        <v>0</v>
      </c>
      <c r="R264" s="363">
        <v>0</v>
      </c>
      <c r="S264" s="363">
        <v>0</v>
      </c>
      <c r="T264" s="363">
        <v>0</v>
      </c>
      <c r="U264" s="363">
        <v>0</v>
      </c>
      <c r="V264" s="363">
        <v>0</v>
      </c>
      <c r="W264" s="363">
        <v>0</v>
      </c>
      <c r="X264" s="363">
        <v>2.9130622210017204E-4</v>
      </c>
      <c r="Y264" s="398">
        <v>5.6960751399754246E-3</v>
      </c>
      <c r="Z264" s="314">
        <f t="shared" si="124"/>
        <v>2.9922452699695357E-4</v>
      </c>
      <c r="AA264" s="316">
        <f t="shared" si="125"/>
        <v>1.5360446004689105E-4</v>
      </c>
      <c r="AB264" s="1054">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1055">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334">
        <f t="shared" si="135"/>
        <v>0.30199729157252786</v>
      </c>
      <c r="AE264" s="1043">
        <f t="shared" si="132"/>
        <v>4.4704142353529271E-5</v>
      </c>
      <c r="AF264" s="1043">
        <f t="shared" si="133"/>
        <v>2.9922452699695357E-4</v>
      </c>
      <c r="AG264" s="1043">
        <f t="shared" si="134"/>
        <v>3.4392866935048283E-4</v>
      </c>
      <c r="AH264" s="1280">
        <f t="shared" si="130"/>
        <v>0.12998085457067032</v>
      </c>
      <c r="AI264" s="1043">
        <f t="shared" si="131"/>
        <v>0.87001914542932968</v>
      </c>
    </row>
    <row r="265" spans="1:35" x14ac:dyDescent="0.2">
      <c r="A265" s="348">
        <v>2039</v>
      </c>
      <c r="B265" s="362">
        <v>0</v>
      </c>
      <c r="C265" s="363">
        <v>0</v>
      </c>
      <c r="D265" s="363">
        <v>0</v>
      </c>
      <c r="E265" s="363">
        <v>0</v>
      </c>
      <c r="F265" s="363">
        <v>0</v>
      </c>
      <c r="G265" s="363">
        <v>0</v>
      </c>
      <c r="H265" s="363">
        <v>0</v>
      </c>
      <c r="I265" s="363">
        <v>0</v>
      </c>
      <c r="J265" s="363">
        <v>0</v>
      </c>
      <c r="K265" s="363">
        <v>1.2936617509579958E-4</v>
      </c>
      <c r="L265" s="398">
        <v>9.3956359747031943E-3</v>
      </c>
      <c r="M265" s="314">
        <f t="shared" si="122"/>
        <v>1.506639143115639E-4</v>
      </c>
      <c r="N265" s="316">
        <f t="shared" si="123"/>
        <v>7.1086123625817174E-5</v>
      </c>
      <c r="O265" s="362">
        <v>0</v>
      </c>
      <c r="P265" s="363">
        <v>0</v>
      </c>
      <c r="Q265" s="363">
        <v>0</v>
      </c>
      <c r="R265" s="363">
        <v>0</v>
      </c>
      <c r="S265" s="363">
        <v>0</v>
      </c>
      <c r="T265" s="363">
        <v>0</v>
      </c>
      <c r="U265" s="363">
        <v>0</v>
      </c>
      <c r="V265" s="363">
        <v>0</v>
      </c>
      <c r="W265" s="363">
        <v>2.4846094545662709E-4</v>
      </c>
      <c r="X265" s="363">
        <v>2.441010490649462E-3</v>
      </c>
      <c r="Y265" s="398">
        <v>1.5824562783061987E-2</v>
      </c>
      <c r="Z265" s="314">
        <f t="shared" si="124"/>
        <v>8.959965024175516E-4</v>
      </c>
      <c r="AA265" s="316">
        <f t="shared" si="125"/>
        <v>4.663624658720779E-4</v>
      </c>
      <c r="AB265" s="1054">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1055">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0.30970837661042216</v>
      </c>
      <c r="AD265" s="1334">
        <f t="shared" si="135"/>
        <v>0.30553910602058809</v>
      </c>
      <c r="AE265" s="1043">
        <f t="shared" si="132"/>
        <v>1.506639143115639E-4</v>
      </c>
      <c r="AF265" s="1043">
        <f t="shared" si="133"/>
        <v>8.959965024175516E-4</v>
      </c>
      <c r="AG265" s="1043">
        <f t="shared" si="134"/>
        <v>1.0466604167291154E-3</v>
      </c>
      <c r="AH265" s="1280">
        <f t="shared" si="130"/>
        <v>0.14394727449653519</v>
      </c>
      <c r="AI265" s="1043">
        <f t="shared" si="131"/>
        <v>0.8560527255034649</v>
      </c>
    </row>
    <row r="266" spans="1:35" ht="13.5" thickBot="1" x14ac:dyDescent="0.25">
      <c r="A266" s="346">
        <v>2040</v>
      </c>
      <c r="B266" s="364">
        <v>0</v>
      </c>
      <c r="C266" s="365">
        <v>0</v>
      </c>
      <c r="D266" s="365">
        <v>0</v>
      </c>
      <c r="E266" s="365">
        <v>0</v>
      </c>
      <c r="F266" s="365">
        <v>0</v>
      </c>
      <c r="G266" s="365">
        <v>0</v>
      </c>
      <c r="H266" s="365">
        <v>0</v>
      </c>
      <c r="I266" s="365">
        <v>0</v>
      </c>
      <c r="J266" s="365">
        <v>2.0645221736301559E-4</v>
      </c>
      <c r="K266" s="365">
        <v>2.0068017242123259E-3</v>
      </c>
      <c r="L266" s="399">
        <v>2.1919703757968461E-2</v>
      </c>
      <c r="M266" s="328">
        <f t="shared" si="122"/>
        <v>3.6421222725608205E-4</v>
      </c>
      <c r="N266" s="330">
        <f t="shared" si="123"/>
        <v>1.7361609210106148E-4</v>
      </c>
      <c r="O266" s="364">
        <v>0</v>
      </c>
      <c r="P266" s="365">
        <v>0</v>
      </c>
      <c r="Q266" s="365">
        <v>0</v>
      </c>
      <c r="R266" s="365">
        <v>0</v>
      </c>
      <c r="S266" s="365">
        <v>0</v>
      </c>
      <c r="T266" s="365">
        <v>0</v>
      </c>
      <c r="U266" s="365">
        <v>0</v>
      </c>
      <c r="V266" s="365">
        <v>4.2613931300667312E-4</v>
      </c>
      <c r="W266" s="365">
        <v>3.3374117186767091E-3</v>
      </c>
      <c r="X266" s="365">
        <v>1.1107630231018217E-2</v>
      </c>
      <c r="Y266" s="399">
        <v>3.7654226986676746E-2</v>
      </c>
      <c r="Z266" s="328">
        <f t="shared" si="124"/>
        <v>2.4395010523413762E-3</v>
      </c>
      <c r="AA266" s="330">
        <f t="shared" si="125"/>
        <v>1.3081635433095755E-3</v>
      </c>
      <c r="AB266" s="1054">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1055">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334">
        <f t="shared" si="135"/>
        <v>0.31467472965029275</v>
      </c>
      <c r="AE266" s="1043">
        <f t="shared" si="132"/>
        <v>3.6421222725608205E-4</v>
      </c>
      <c r="AF266" s="1043">
        <f t="shared" si="133"/>
        <v>2.4395010523413762E-3</v>
      </c>
      <c r="AG266" s="1043">
        <f t="shared" si="134"/>
        <v>2.8037132795974582E-3</v>
      </c>
      <c r="AH266" s="1280">
        <f t="shared" si="130"/>
        <v>0.12990352112908407</v>
      </c>
      <c r="AI266" s="1043">
        <f t="shared" si="131"/>
        <v>0.8700964788709159</v>
      </c>
    </row>
    <row r="267" spans="1:35" x14ac:dyDescent="0.2">
      <c r="A267" s="347">
        <v>2041</v>
      </c>
      <c r="B267" s="360">
        <v>0</v>
      </c>
      <c r="C267" s="361">
        <v>0</v>
      </c>
      <c r="D267" s="361">
        <v>0</v>
      </c>
      <c r="E267" s="361">
        <v>0</v>
      </c>
      <c r="F267" s="361">
        <v>0</v>
      </c>
      <c r="G267" s="361">
        <v>0</v>
      </c>
      <c r="H267" s="361">
        <v>0</v>
      </c>
      <c r="I267" s="361">
        <v>5.7565736136286827E-4</v>
      </c>
      <c r="J267" s="361">
        <v>4.0265827251557626E-3</v>
      </c>
      <c r="K267" s="361">
        <v>1.12087185990875E-2</v>
      </c>
      <c r="L267" s="397">
        <v>4.6141052816465938E-2</v>
      </c>
      <c r="M267" s="300">
        <f t="shared" si="122"/>
        <v>8.6979739756377255E-4</v>
      </c>
      <c r="N267" s="302">
        <f t="shared" si="123"/>
        <v>4.3332481612223654E-4</v>
      </c>
      <c r="O267" s="360">
        <v>0</v>
      </c>
      <c r="P267" s="361">
        <v>0</v>
      </c>
      <c r="Q267" s="361">
        <v>0</v>
      </c>
      <c r="R267" s="361">
        <v>0</v>
      </c>
      <c r="S267" s="361">
        <v>0</v>
      </c>
      <c r="T267" s="361">
        <v>7.1901423487890522E-5</v>
      </c>
      <c r="U267" s="361">
        <v>1.0078661240035629E-3</v>
      </c>
      <c r="V267" s="361">
        <v>5.9334186099935932E-3</v>
      </c>
      <c r="W267" s="361">
        <v>1.6265157708192219E-2</v>
      </c>
      <c r="X267" s="361">
        <v>3.4429111885504363E-2</v>
      </c>
      <c r="Y267" s="397">
        <v>6.4757988190722232E-2</v>
      </c>
      <c r="Z267" s="300">
        <f t="shared" si="124"/>
        <v>5.7928148165274571E-3</v>
      </c>
      <c r="AA267" s="302">
        <f t="shared" si="125"/>
        <v>3.3942973774426979E-3</v>
      </c>
      <c r="AB267" s="1054">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0.29681325723261104</v>
      </c>
      <c r="AC267" s="1055">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0.3490985787470916</v>
      </c>
      <c r="AD267" s="1334">
        <f t="shared" si="135"/>
        <v>0.34227278202911721</v>
      </c>
      <c r="AE267" s="1043">
        <f t="shared" si="132"/>
        <v>8.6979739756377255E-4</v>
      </c>
      <c r="AF267" s="1043">
        <f t="shared" si="133"/>
        <v>5.7928148165274571E-3</v>
      </c>
      <c r="AG267" s="1043">
        <f t="shared" si="134"/>
        <v>6.6626122140912292E-3</v>
      </c>
      <c r="AH267" s="1280">
        <f t="shared" si="130"/>
        <v>0.13054900534720851</v>
      </c>
      <c r="AI267" s="1043">
        <f t="shared" si="131"/>
        <v>0.86945099465279152</v>
      </c>
    </row>
    <row r="268" spans="1:35" x14ac:dyDescent="0.2">
      <c r="A268" s="348">
        <v>2042</v>
      </c>
      <c r="B268" s="362">
        <v>0</v>
      </c>
      <c r="C268" s="363">
        <v>0</v>
      </c>
      <c r="D268" s="363">
        <v>0</v>
      </c>
      <c r="E268" s="363">
        <v>0</v>
      </c>
      <c r="F268" s="363">
        <v>0</v>
      </c>
      <c r="G268" s="363">
        <v>5.0830215300069531E-4</v>
      </c>
      <c r="H268" s="363">
        <v>2.7384047616878433E-3</v>
      </c>
      <c r="I268" s="363">
        <v>1.0157772413953367E-2</v>
      </c>
      <c r="J268" s="363">
        <v>2.445789627670265E-2</v>
      </c>
      <c r="K268" s="363">
        <v>3.9088447489761965E-2</v>
      </c>
      <c r="L268" s="398">
        <v>7.2829531327152836E-2</v>
      </c>
      <c r="M268" s="314">
        <f t="shared" si="122"/>
        <v>2.2388485352510144E-3</v>
      </c>
      <c r="N268" s="316">
        <f t="shared" si="123"/>
        <v>1.337675534219341E-3</v>
      </c>
      <c r="O268" s="362">
        <v>0</v>
      </c>
      <c r="P268" s="363">
        <v>0</v>
      </c>
      <c r="Q268" s="363">
        <v>0</v>
      </c>
      <c r="R268" s="363">
        <v>0</v>
      </c>
      <c r="S268" s="363">
        <v>9.1396972094335519E-4</v>
      </c>
      <c r="T268" s="363">
        <v>6.2085777271375766E-3</v>
      </c>
      <c r="U268" s="363">
        <v>1.4902098823174212E-2</v>
      </c>
      <c r="V268" s="363">
        <v>3.1885496668905278E-2</v>
      </c>
      <c r="W268" s="363">
        <v>5.1170208128921299E-2</v>
      </c>
      <c r="X268" s="363">
        <v>7.0771127832261319E-2</v>
      </c>
      <c r="Y268" s="398">
        <v>0.10761164856407623</v>
      </c>
      <c r="Z268" s="314">
        <f t="shared" si="124"/>
        <v>1.7247883000487359E-2</v>
      </c>
      <c r="AA268" s="316">
        <f t="shared" si="125"/>
        <v>1.2066665205819251E-2</v>
      </c>
      <c r="AB268" s="1054">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1055">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334">
        <f t="shared" si="135"/>
        <v>0.41008143833913918</v>
      </c>
      <c r="AE268" s="1043">
        <f t="shared" si="132"/>
        <v>2.2388485352510144E-3</v>
      </c>
      <c r="AF268" s="1043">
        <f t="shared" si="133"/>
        <v>1.7247883000487359E-2</v>
      </c>
      <c r="AG268" s="1043">
        <f t="shared" si="134"/>
        <v>1.9486731535738374E-2</v>
      </c>
      <c r="AH268" s="1280">
        <f t="shared" si="130"/>
        <v>0.11489092109392485</v>
      </c>
      <c r="AI268" s="1043">
        <f t="shared" si="131"/>
        <v>0.88510907890607515</v>
      </c>
    </row>
    <row r="269" spans="1:35" x14ac:dyDescent="0.2">
      <c r="A269" s="348">
        <v>2043</v>
      </c>
      <c r="B269" s="362">
        <v>0</v>
      </c>
      <c r="C269" s="363">
        <v>0</v>
      </c>
      <c r="D269" s="363">
        <v>0</v>
      </c>
      <c r="E269" s="363">
        <v>5.9405780315798754E-4</v>
      </c>
      <c r="F269" s="363">
        <v>4.0085013956384311E-3</v>
      </c>
      <c r="G269" s="363">
        <v>1.2036598253272808E-2</v>
      </c>
      <c r="H269" s="363">
        <v>2.2862675324269711E-2</v>
      </c>
      <c r="I269" s="363">
        <v>4.0171138229895188E-2</v>
      </c>
      <c r="J269" s="363">
        <v>5.5542723672715795E-2</v>
      </c>
      <c r="K269" s="363">
        <v>6.912766418860275E-2</v>
      </c>
      <c r="L269" s="398">
        <v>9.9821987880838708E-2</v>
      </c>
      <c r="M269" s="314">
        <f t="shared" si="122"/>
        <v>6.1954582801386129E-3</v>
      </c>
      <c r="N269" s="316">
        <f t="shared" si="123"/>
        <v>4.5467896768985197E-3</v>
      </c>
      <c r="O269" s="362">
        <v>0</v>
      </c>
      <c r="P269" s="363">
        <v>0</v>
      </c>
      <c r="Q269" s="363">
        <v>1.1086218768657009E-4</v>
      </c>
      <c r="R269" s="363">
        <v>5.3787849013306422E-3</v>
      </c>
      <c r="S269" s="363">
        <v>1.787657299019265E-2</v>
      </c>
      <c r="T269" s="363">
        <v>3.6843741726461793E-2</v>
      </c>
      <c r="U269" s="363">
        <v>5.2698134685440219E-2</v>
      </c>
      <c r="V269" s="363">
        <v>7.2420430132787192E-2</v>
      </c>
      <c r="W269" s="363">
        <v>8.9915086981580405E-2</v>
      </c>
      <c r="X269" s="363">
        <v>0.10843226155665858</v>
      </c>
      <c r="Y269" s="398">
        <v>0.13553934921039487</v>
      </c>
      <c r="Z269" s="314">
        <f t="shared" si="124"/>
        <v>4.1174306013312428E-2</v>
      </c>
      <c r="AA269" s="316">
        <f t="shared" si="125"/>
        <v>3.3134867327637312E-2</v>
      </c>
      <c r="AB269" s="1054">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1055">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334">
        <f t="shared" si="135"/>
        <v>0.4745271420760544</v>
      </c>
      <c r="AE269" s="1043">
        <f t="shared" si="132"/>
        <v>6.1954582801386129E-3</v>
      </c>
      <c r="AF269" s="1043">
        <f t="shared" si="133"/>
        <v>4.1174306013312428E-2</v>
      </c>
      <c r="AG269" s="1043">
        <f t="shared" si="134"/>
        <v>4.7369764293451043E-2</v>
      </c>
      <c r="AH269" s="1280">
        <f t="shared" si="130"/>
        <v>0.13078929930405303</v>
      </c>
      <c r="AI269" s="1043">
        <f t="shared" si="131"/>
        <v>0.86921070069594697</v>
      </c>
    </row>
    <row r="270" spans="1:35" x14ac:dyDescent="0.2">
      <c r="A270" s="348">
        <v>2044</v>
      </c>
      <c r="B270" s="362">
        <v>0</v>
      </c>
      <c r="C270" s="363">
        <v>0</v>
      </c>
      <c r="D270" s="363">
        <v>4.2275598303873188E-4</v>
      </c>
      <c r="E270" s="363">
        <v>1.2198374844093777E-2</v>
      </c>
      <c r="F270" s="363">
        <v>2.494124468678487E-2</v>
      </c>
      <c r="G270" s="363">
        <v>4.2268961074806877E-2</v>
      </c>
      <c r="H270" s="363">
        <v>5.3310144831230651E-2</v>
      </c>
      <c r="I270" s="363">
        <v>7.0920563616433244E-2</v>
      </c>
      <c r="J270" s="363">
        <v>8.5252880628059205E-2</v>
      </c>
      <c r="K270" s="363">
        <v>9.5634632007471285E-2</v>
      </c>
      <c r="L270" s="398">
        <v>0.1224826167299851</v>
      </c>
      <c r="M270" s="314">
        <f t="shared" si="122"/>
        <v>1.2171294653318027E-2</v>
      </c>
      <c r="N270" s="316">
        <f t="shared" si="123"/>
        <v>1.0032449361932384E-2</v>
      </c>
      <c r="O270" s="362">
        <v>0</v>
      </c>
      <c r="P270" s="363">
        <v>0</v>
      </c>
      <c r="Q270" s="363">
        <v>5.1839625550617495E-3</v>
      </c>
      <c r="R270" s="363">
        <v>3.4121816055637584E-2</v>
      </c>
      <c r="S270" s="363">
        <v>5.5962490963086343E-2</v>
      </c>
      <c r="T270" s="363">
        <v>7.6281807704764309E-2</v>
      </c>
      <c r="U270" s="363">
        <v>9.2517098019994318E-2</v>
      </c>
      <c r="V270" s="363">
        <v>0.11089093883228825</v>
      </c>
      <c r="W270" s="363">
        <v>0.12401148795337322</v>
      </c>
      <c r="X270" s="363">
        <v>0.14360314745287536</v>
      </c>
      <c r="Y270" s="398">
        <v>0.15677897266830207</v>
      </c>
      <c r="Z270" s="314">
        <f t="shared" si="124"/>
        <v>6.9091158889438356E-2</v>
      </c>
      <c r="AA270" s="316">
        <f t="shared" si="125"/>
        <v>5.9457935499598852E-2</v>
      </c>
      <c r="AB270" s="1054">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1055">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334">
        <f t="shared" si="135"/>
        <v>0.51022913870963138</v>
      </c>
      <c r="AE270" s="1043">
        <f t="shared" si="132"/>
        <v>1.2171294653318027E-2</v>
      </c>
      <c r="AF270" s="1043">
        <f t="shared" si="133"/>
        <v>6.9091158889438356E-2</v>
      </c>
      <c r="AG270" s="1043">
        <f t="shared" si="134"/>
        <v>8.126245354275638E-2</v>
      </c>
      <c r="AH270" s="1280">
        <f t="shared" si="130"/>
        <v>0.14977759251280887</v>
      </c>
      <c r="AI270" s="1043">
        <f t="shared" si="131"/>
        <v>0.85022240748719113</v>
      </c>
    </row>
    <row r="271" spans="1:35" ht="13.5" thickBot="1" x14ac:dyDescent="0.25">
      <c r="A271" s="346">
        <v>2045</v>
      </c>
      <c r="B271" s="364">
        <v>0</v>
      </c>
      <c r="C271" s="365">
        <v>0</v>
      </c>
      <c r="D271" s="365">
        <v>6.5362489246181777E-3</v>
      </c>
      <c r="E271" s="365">
        <v>3.9231716970202439E-2</v>
      </c>
      <c r="F271" s="365">
        <v>5.7347318261848891E-2</v>
      </c>
      <c r="G271" s="365">
        <v>6.8690681904112552E-2</v>
      </c>
      <c r="H271" s="365">
        <v>8.2781882632396595E-2</v>
      </c>
      <c r="I271" s="365">
        <v>9.7869173468860052E-2</v>
      </c>
      <c r="J271" s="365">
        <v>0.10789315490550901</v>
      </c>
      <c r="K271" s="365">
        <v>0.11856937242321079</v>
      </c>
      <c r="L271" s="399">
        <v>0.13377235864186179</v>
      </c>
      <c r="M271" s="328">
        <f t="shared" si="122"/>
        <v>1.8280549583528715E-2</v>
      </c>
      <c r="N271" s="330">
        <f t="shared" si="123"/>
        <v>1.6119678854616501E-2</v>
      </c>
      <c r="O271" s="364">
        <v>0</v>
      </c>
      <c r="P271" s="365">
        <v>0</v>
      </c>
      <c r="Q271" s="365">
        <v>2.4275256795792184E-2</v>
      </c>
      <c r="R271" s="365">
        <v>7.8408784352627797E-2</v>
      </c>
      <c r="S271" s="365">
        <v>9.7677816400662615E-2</v>
      </c>
      <c r="T271" s="365">
        <v>0.1151572665750155</v>
      </c>
      <c r="U271" s="365">
        <v>0.12722894066070753</v>
      </c>
      <c r="V271" s="365">
        <v>0.13933738712367244</v>
      </c>
      <c r="W271" s="365">
        <v>0.15250936905494974</v>
      </c>
      <c r="X271" s="365">
        <v>0.16446596622285273</v>
      </c>
      <c r="Y271" s="399">
        <v>0.17673259232853444</v>
      </c>
      <c r="Z271" s="328">
        <f t="shared" si="124"/>
        <v>9.5037499269371176E-2</v>
      </c>
      <c r="AA271" s="330">
        <f t="shared" si="125"/>
        <v>8.5040736158769684E-2</v>
      </c>
      <c r="AB271" s="1054">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1055">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0.53362779138029026</v>
      </c>
      <c r="AD271" s="1334">
        <f t="shared" si="135"/>
        <v>0.53242859291870936</v>
      </c>
      <c r="AE271" s="1043">
        <f t="shared" si="132"/>
        <v>1.8280549583528715E-2</v>
      </c>
      <c r="AF271" s="1043">
        <f t="shared" si="133"/>
        <v>9.5037499269371176E-2</v>
      </c>
      <c r="AG271" s="1043">
        <f t="shared" si="134"/>
        <v>0.11331804885289989</v>
      </c>
      <c r="AH271" s="1280">
        <f t="shared" si="130"/>
        <v>0.16132072312027726</v>
      </c>
      <c r="AI271" s="1043">
        <f t="shared" si="131"/>
        <v>0.83867927687972277</v>
      </c>
    </row>
    <row r="272" spans="1:35" x14ac:dyDescent="0.2">
      <c r="A272" s="347">
        <v>2046</v>
      </c>
      <c r="B272" s="360">
        <v>0</v>
      </c>
      <c r="C272" s="361">
        <v>0</v>
      </c>
      <c r="D272" s="361">
        <v>1.7383631984331124E-2</v>
      </c>
      <c r="E272" s="361">
        <v>6.5659030431649237E-2</v>
      </c>
      <c r="F272" s="361">
        <v>7.766659411435059E-2</v>
      </c>
      <c r="G272" s="361">
        <v>9.0877187757141903E-2</v>
      </c>
      <c r="H272" s="361">
        <v>9.977160964168566E-2</v>
      </c>
      <c r="I272" s="361">
        <v>0.10984870893737922</v>
      </c>
      <c r="J272" s="361">
        <v>0.1198146133895986</v>
      </c>
      <c r="K272" s="361">
        <v>0.13026311657121301</v>
      </c>
      <c r="L272" s="397">
        <v>0.14498716242463566</v>
      </c>
      <c r="M272" s="300">
        <f t="shared" si="122"/>
        <v>2.2228612936354718E-2</v>
      </c>
      <c r="N272" s="302">
        <f t="shared" si="123"/>
        <v>2.0230069651986763E-2</v>
      </c>
      <c r="O272" s="360">
        <v>0</v>
      </c>
      <c r="P272" s="361">
        <v>0</v>
      </c>
      <c r="Q272" s="361">
        <v>4.5854004947535221E-2</v>
      </c>
      <c r="R272" s="361">
        <v>0.10554160029877559</v>
      </c>
      <c r="S272" s="361">
        <v>0.12022898197295884</v>
      </c>
      <c r="T272" s="361">
        <v>0.13828879650118486</v>
      </c>
      <c r="U272" s="361">
        <v>0.14170896220466422</v>
      </c>
      <c r="V272" s="361">
        <v>0.15358174067556282</v>
      </c>
      <c r="W272" s="361">
        <v>0.16633739486396132</v>
      </c>
      <c r="X272" s="361">
        <v>0.17112765866476778</v>
      </c>
      <c r="Y272" s="397">
        <v>0.1829326810493917</v>
      </c>
      <c r="Z272" s="300">
        <f t="shared" si="124"/>
        <v>0.1081299066478062</v>
      </c>
      <c r="AA272" s="302">
        <f t="shared" si="125"/>
        <v>9.8493720528487289E-2</v>
      </c>
      <c r="AB272" s="1054">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1055">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334">
        <f t="shared" si="135"/>
        <v>0.54298409370863887</v>
      </c>
      <c r="AE272" s="1043">
        <f t="shared" si="132"/>
        <v>2.2228612936354718E-2</v>
      </c>
      <c r="AF272" s="1043">
        <f t="shared" si="133"/>
        <v>0.1081299066478062</v>
      </c>
      <c r="AG272" s="1043">
        <f t="shared" si="134"/>
        <v>0.13035851958416092</v>
      </c>
      <c r="AH272" s="1280">
        <f t="shared" si="130"/>
        <v>0.17051906547622056</v>
      </c>
      <c r="AI272" s="1043">
        <f t="shared" si="131"/>
        <v>0.82948093452377936</v>
      </c>
    </row>
    <row r="273" spans="1:43" x14ac:dyDescent="0.2">
      <c r="A273" s="348">
        <v>2047</v>
      </c>
      <c r="B273" s="362">
        <v>0</v>
      </c>
      <c r="C273" s="363">
        <v>0</v>
      </c>
      <c r="D273" s="363">
        <v>2.6545317874666075E-2</v>
      </c>
      <c r="E273" s="363">
        <v>7.6003254763589448E-2</v>
      </c>
      <c r="F273" s="363">
        <v>8.8815991069888606E-2</v>
      </c>
      <c r="G273" s="363">
        <v>0.10248299952867425</v>
      </c>
      <c r="H273" s="363">
        <v>0.11194422405313474</v>
      </c>
      <c r="I273" s="363">
        <v>0.12161521758803086</v>
      </c>
      <c r="J273" s="363">
        <v>0.13137091873722212</v>
      </c>
      <c r="K273" s="363">
        <v>0.13623743461568094</v>
      </c>
      <c r="L273" s="398">
        <v>0.15041543105142063</v>
      </c>
      <c r="M273" s="314">
        <f t="shared" si="122"/>
        <v>2.4742842470249118E-2</v>
      </c>
      <c r="N273" s="316">
        <f t="shared" si="123"/>
        <v>2.2729715034047356E-2</v>
      </c>
      <c r="O273" s="362">
        <v>0</v>
      </c>
      <c r="P273" s="363">
        <v>1.2609918731391019E-4</v>
      </c>
      <c r="Q273" s="363">
        <v>6.6738592408266073E-2</v>
      </c>
      <c r="R273" s="363">
        <v>0.12014459050094921</v>
      </c>
      <c r="S273" s="363">
        <v>0.13490299151237625</v>
      </c>
      <c r="T273" s="363">
        <v>0.14545055517938127</v>
      </c>
      <c r="U273" s="363">
        <v>0.15590723434230577</v>
      </c>
      <c r="V273" s="363">
        <v>0.16723177226563846</v>
      </c>
      <c r="W273" s="363">
        <v>0.17278779665216029</v>
      </c>
      <c r="X273" s="363">
        <v>0.17732522256989974</v>
      </c>
      <c r="Y273" s="398">
        <v>0.1885773664593825</v>
      </c>
      <c r="Z273" s="314">
        <f t="shared" si="124"/>
        <v>0.11681909230548783</v>
      </c>
      <c r="AA273" s="316">
        <f t="shared" si="125"/>
        <v>0.10715630426457114</v>
      </c>
      <c r="AB273" s="1054">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1055">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334">
        <f t="shared" si="135"/>
        <v>0.54689566065756945</v>
      </c>
      <c r="AE273" s="1043">
        <f t="shared" si="132"/>
        <v>2.4742842470249118E-2</v>
      </c>
      <c r="AF273" s="1043">
        <f t="shared" si="133"/>
        <v>0.11681909230548783</v>
      </c>
      <c r="AG273" s="1043">
        <f t="shared" si="134"/>
        <v>0.14156193477573695</v>
      </c>
      <c r="AH273" s="1280">
        <f t="shared" si="130"/>
        <v>0.17478457404136813</v>
      </c>
      <c r="AI273" s="1043">
        <f t="shared" si="131"/>
        <v>0.82521542595863184</v>
      </c>
    </row>
    <row r="274" spans="1:43" x14ac:dyDescent="0.2">
      <c r="A274" s="348">
        <v>2048</v>
      </c>
      <c r="B274" s="362">
        <v>0</v>
      </c>
      <c r="C274" s="363">
        <v>0</v>
      </c>
      <c r="D274" s="363">
        <v>3.5289456135044889E-2</v>
      </c>
      <c r="E274" s="363">
        <v>8.706101393130164E-2</v>
      </c>
      <c r="F274" s="363">
        <v>0.10052911378982489</v>
      </c>
      <c r="G274" s="363">
        <v>0.10838572126472036</v>
      </c>
      <c r="H274" s="363">
        <v>0.11788503764741849</v>
      </c>
      <c r="I274" s="363">
        <v>0.12785927455999854</v>
      </c>
      <c r="J274" s="363">
        <v>0.13738196129312163</v>
      </c>
      <c r="K274" s="363">
        <v>0.14198899529428805</v>
      </c>
      <c r="L274" s="398">
        <v>0.15561224019819303</v>
      </c>
      <c r="M274" s="314">
        <f t="shared" si="122"/>
        <v>2.6406715352884282E-2</v>
      </c>
      <c r="N274" s="316">
        <f t="shared" si="123"/>
        <v>2.4497487598255742E-2</v>
      </c>
      <c r="O274" s="362">
        <v>0</v>
      </c>
      <c r="P274" s="363">
        <v>3.2905338404426644E-4</v>
      </c>
      <c r="Q274" s="363">
        <v>7.879431584843366E-2</v>
      </c>
      <c r="R274" s="363">
        <v>0.13552359752346876</v>
      </c>
      <c r="S274" s="363">
        <v>0.14245115118992802</v>
      </c>
      <c r="T274" s="363">
        <v>0.15287140106359834</v>
      </c>
      <c r="U274" s="363">
        <v>0.16305803359763851</v>
      </c>
      <c r="V274" s="363">
        <v>0.17402296929673436</v>
      </c>
      <c r="W274" s="363">
        <v>0.17935431364203641</v>
      </c>
      <c r="X274" s="363">
        <v>0.18360440790243035</v>
      </c>
      <c r="Y274" s="398">
        <v>0.19423908188754505</v>
      </c>
      <c r="Z274" s="314">
        <f t="shared" si="124"/>
        <v>0.12255650578626166</v>
      </c>
      <c r="AA274" s="316">
        <f t="shared" si="125"/>
        <v>0.11295081533651542</v>
      </c>
      <c r="AB274" s="1054">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1055">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0.54937110547380918</v>
      </c>
      <c r="AD274" s="1334">
        <f t="shared" si="135"/>
        <v>0.55006545807405272</v>
      </c>
      <c r="AE274" s="1043">
        <f t="shared" si="132"/>
        <v>2.6406715352884282E-2</v>
      </c>
      <c r="AF274" s="1043">
        <f t="shared" si="133"/>
        <v>0.12255650578626166</v>
      </c>
      <c r="AG274" s="1043">
        <f t="shared" si="134"/>
        <v>0.14896322113914595</v>
      </c>
      <c r="AH274" s="1280">
        <f t="shared" si="130"/>
        <v>0.17727003451555248</v>
      </c>
      <c r="AI274" s="1043">
        <f t="shared" si="131"/>
        <v>0.82272996548444743</v>
      </c>
    </row>
    <row r="275" spans="1:43" x14ac:dyDescent="0.2">
      <c r="A275" s="348">
        <v>2049</v>
      </c>
      <c r="B275" s="362">
        <v>0</v>
      </c>
      <c r="C275" s="363">
        <v>0</v>
      </c>
      <c r="D275" s="363">
        <v>3.8529293183251045E-2</v>
      </c>
      <c r="E275" s="363">
        <v>9.1841159421526847E-2</v>
      </c>
      <c r="F275" s="363">
        <v>0.10645757220151221</v>
      </c>
      <c r="G275" s="363">
        <v>0.11440302944510168</v>
      </c>
      <c r="H275" s="363">
        <v>0.1239029596186691</v>
      </c>
      <c r="I275" s="363">
        <v>0.13380702910992112</v>
      </c>
      <c r="J275" s="363">
        <v>0.13779535617918096</v>
      </c>
      <c r="K275" s="363">
        <v>0.14767934969562144</v>
      </c>
      <c r="L275" s="398">
        <v>0.15618320999794988</v>
      </c>
      <c r="M275" s="314">
        <f t="shared" si="122"/>
        <v>2.7584488976441252E-2</v>
      </c>
      <c r="N275" s="316">
        <f t="shared" si="123"/>
        <v>2.5692321744498967E-2</v>
      </c>
      <c r="O275" s="362">
        <v>0</v>
      </c>
      <c r="P275" s="363">
        <v>5.3291895659969405E-4</v>
      </c>
      <c r="Q275" s="363">
        <v>8.4653591014697702E-2</v>
      </c>
      <c r="R275" s="363">
        <v>0.13467012263726291</v>
      </c>
      <c r="S275" s="363">
        <v>0.14920440141369776</v>
      </c>
      <c r="T275" s="363">
        <v>0.15946201622555986</v>
      </c>
      <c r="U275" s="363">
        <v>0.17066573207719149</v>
      </c>
      <c r="V275" s="363">
        <v>0.17330068587413522</v>
      </c>
      <c r="W275" s="363">
        <v>0.1786267907309578</v>
      </c>
      <c r="X275" s="363">
        <v>0.18873707223897232</v>
      </c>
      <c r="Y275" s="398">
        <v>0.19349460620017123</v>
      </c>
      <c r="Z275" s="314">
        <f t="shared" si="124"/>
        <v>0.12622106720711165</v>
      </c>
      <c r="AA275" s="316">
        <f t="shared" si="125"/>
        <v>0.11661990881240661</v>
      </c>
      <c r="AB275" s="1054">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0.55576832822174593</v>
      </c>
      <c r="AC275" s="1055">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0.55099240637494262</v>
      </c>
      <c r="AD275" s="1334">
        <f t="shared" si="135"/>
        <v>0.55184895126710676</v>
      </c>
      <c r="AE275" s="1043">
        <f t="shared" si="132"/>
        <v>2.7584488976441252E-2</v>
      </c>
      <c r="AF275" s="1043">
        <f t="shared" si="133"/>
        <v>0.12622106720711165</v>
      </c>
      <c r="AG275" s="1043">
        <f t="shared" si="134"/>
        <v>0.15380555618355291</v>
      </c>
      <c r="AH275" s="1280">
        <f t="shared" si="130"/>
        <v>0.17934650516475281</v>
      </c>
      <c r="AI275" s="1043">
        <f t="shared" si="131"/>
        <v>0.82065349483524719</v>
      </c>
    </row>
    <row r="276" spans="1:43" ht="13.5" thickBot="1" x14ac:dyDescent="0.25">
      <c r="A276" s="346">
        <v>2050</v>
      </c>
      <c r="B276" s="364">
        <v>0</v>
      </c>
      <c r="C276" s="365">
        <v>9.4929549121090462E-5</v>
      </c>
      <c r="D276" s="365">
        <v>4.1414766763237625E-2</v>
      </c>
      <c r="E276" s="365">
        <v>9.8288346813038149E-2</v>
      </c>
      <c r="F276" s="365">
        <v>0.10685438739439267</v>
      </c>
      <c r="G276" s="365">
        <v>0.12087448535129698</v>
      </c>
      <c r="H276" s="365">
        <v>0.12436440524524575</v>
      </c>
      <c r="I276" s="365">
        <v>0.13430186328135438</v>
      </c>
      <c r="J276" s="365">
        <v>0.14369247350535286</v>
      </c>
      <c r="K276" s="365">
        <v>0.14821943303822574</v>
      </c>
      <c r="L276" s="399">
        <v>0.16111784875098828</v>
      </c>
      <c r="M276" s="328">
        <f t="shared" si="122"/>
        <v>2.8116002076327067E-2</v>
      </c>
      <c r="N276" s="330">
        <f t="shared" si="123"/>
        <v>2.6247401420236179E-2</v>
      </c>
      <c r="O276" s="364">
        <v>0</v>
      </c>
      <c r="P276" s="365">
        <v>7.4070948162400162E-4</v>
      </c>
      <c r="Q276" s="365">
        <v>8.4289042930835695E-2</v>
      </c>
      <c r="R276" s="365">
        <v>0.14208193045913475</v>
      </c>
      <c r="S276" s="365">
        <v>0.15647007287389308</v>
      </c>
      <c r="T276" s="365">
        <v>0.16641122713810458</v>
      </c>
      <c r="U276" s="365">
        <v>0.170448701517179</v>
      </c>
      <c r="V276" s="365">
        <v>0.17958574404980815</v>
      </c>
      <c r="W276" s="365">
        <v>0.18463693241828125</v>
      </c>
      <c r="X276" s="365">
        <v>0.18947820531241338</v>
      </c>
      <c r="Y276" s="399">
        <v>0.19847582972880015</v>
      </c>
      <c r="Z276" s="328">
        <f t="shared" si="124"/>
        <v>0.12935769921841975</v>
      </c>
      <c r="AA276" s="330">
        <f t="shared" si="125"/>
        <v>0.11976236070398591</v>
      </c>
      <c r="AB276" s="1056">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1057">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335">
        <f t="shared" si="135"/>
        <v>0.55336911716142523</v>
      </c>
      <c r="AE276" s="1043">
        <f t="shared" si="132"/>
        <v>2.8116002076327067E-2</v>
      </c>
      <c r="AF276" s="1043">
        <f t="shared" si="133"/>
        <v>0.12935769921841975</v>
      </c>
      <c r="AG276" s="1043">
        <f t="shared" si="134"/>
        <v>0.1574737012947468</v>
      </c>
      <c r="AH276" s="1280">
        <f t="shared" si="130"/>
        <v>0.17854411146215304</v>
      </c>
      <c r="AI276" s="1043">
        <f t="shared" si="131"/>
        <v>0.82145588853784701</v>
      </c>
    </row>
    <row r="277" spans="1:43" x14ac:dyDescent="0.2">
      <c r="B277" s="245" t="str">
        <f>B$120</f>
        <v>Output generated: 2/21/2020 18:23</v>
      </c>
      <c r="U277" s="245" t="str">
        <f>U$120</f>
        <v>Output generated: 2/21/2020 18:23</v>
      </c>
      <c r="AE277" s="1043"/>
      <c r="AF277" s="1043"/>
      <c r="AG277" s="1043"/>
      <c r="AH277" s="1043"/>
      <c r="AI277" s="1043"/>
    </row>
    <row r="278" spans="1:43" x14ac:dyDescent="0.2">
      <c r="AE278" s="1043"/>
      <c r="AF278" s="1043"/>
      <c r="AG278" s="1043"/>
      <c r="AH278" s="1043"/>
      <c r="AI278" s="1043"/>
    </row>
    <row r="279" spans="1:43" ht="13.5" thickBot="1" x14ac:dyDescent="0.25">
      <c r="AE279" s="1043"/>
      <c r="AF279" s="1043"/>
      <c r="AG279" s="1043"/>
      <c r="AH279" s="1043"/>
      <c r="AI279" s="1043"/>
    </row>
    <row r="280" spans="1:43" ht="15" x14ac:dyDescent="0.25">
      <c r="A280" s="351"/>
      <c r="B280" s="713" t="s">
        <v>220</v>
      </c>
      <c r="C280" s="714"/>
      <c r="D280" s="714"/>
      <c r="E280" s="714"/>
      <c r="F280" s="714"/>
      <c r="G280" s="714"/>
      <c r="H280" s="714"/>
      <c r="I280" s="714"/>
      <c r="J280" s="714"/>
      <c r="K280" s="714"/>
      <c r="L280" s="714"/>
      <c r="M280" s="714"/>
      <c r="N280" s="715"/>
      <c r="O280" s="713" t="s">
        <v>221</v>
      </c>
      <c r="P280" s="714"/>
      <c r="Q280" s="714"/>
      <c r="R280" s="714"/>
      <c r="S280" s="714"/>
      <c r="T280" s="714"/>
      <c r="U280" s="714"/>
      <c r="V280" s="714"/>
      <c r="W280" s="714"/>
      <c r="X280" s="714"/>
      <c r="Y280" s="714"/>
      <c r="Z280" s="714"/>
      <c r="AA280" s="715"/>
      <c r="AE280" s="1043"/>
      <c r="AF280" s="1043"/>
      <c r="AG280" s="1043"/>
      <c r="AH280" s="1043"/>
      <c r="AI280" s="1043"/>
    </row>
    <row r="281" spans="1:43"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E281" s="1043"/>
      <c r="AF281" s="1043"/>
      <c r="AG281" s="1043"/>
      <c r="AH281" s="1043"/>
      <c r="AI281" s="1043"/>
    </row>
    <row r="282" spans="1:43"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C282" s="1009" t="s">
        <v>276</v>
      </c>
      <c r="AD282" s="252" t="b">
        <f>INDEX(TECH_OPT_FUEL2_Cls1,MATCH(RIGHT(O280),TECH_OPT_ROWS_Cls1,0))&lt;&gt;"N/A"</f>
        <v>0</v>
      </c>
      <c r="AE282" s="1043"/>
      <c r="AF282" s="1043"/>
      <c r="AG282" s="1043"/>
      <c r="AH282" s="1043"/>
      <c r="AI282" s="1043"/>
    </row>
    <row r="283" spans="1:43" ht="14.25" thickTop="1" thickBot="1" x14ac:dyDescent="0.25">
      <c r="A283" s="366" t="s">
        <v>124</v>
      </c>
      <c r="B283" s="358">
        <f t="array" ref="B283:L283">TRANSPOSE(Cls1CentTruckShr)</f>
        <v>7.9460669190030697E-3</v>
      </c>
      <c r="C283" s="359">
        <v>4.9615201402207001E-3</v>
      </c>
      <c r="D283" s="359">
        <v>9.2815995818941767E-3</v>
      </c>
      <c r="E283" s="359">
        <v>3.0833513121077051E-2</v>
      </c>
      <c r="F283" s="359">
        <v>4.3269302277925595E-2</v>
      </c>
      <c r="G283" s="359">
        <v>2.8144935330937017E-2</v>
      </c>
      <c r="H283" s="359">
        <v>6.8990329765143715E-2</v>
      </c>
      <c r="I283" s="359">
        <v>2.4926184998997059E-2</v>
      </c>
      <c r="J283" s="359">
        <v>7.8890239376675012E-3</v>
      </c>
      <c r="K283" s="359">
        <v>3.6046105934191604E-3</v>
      </c>
      <c r="L283" s="396">
        <v>7.5162351043371062E-3</v>
      </c>
      <c r="M283" s="403"/>
      <c r="N283" s="352"/>
      <c r="O283" s="358">
        <f t="array" ref="O283:Y283">TRANSPOSE(Cls1NCentTruckShr)</f>
        <v>1.2963682068270432E-2</v>
      </c>
      <c r="P283" s="359">
        <v>2.3837141813212878E-2</v>
      </c>
      <c r="Q283" s="359">
        <v>2.5768680683356839E-2</v>
      </c>
      <c r="R283" s="359">
        <v>5.7965433078982248E-2</v>
      </c>
      <c r="S283" s="359">
        <v>0.10312619102844889</v>
      </c>
      <c r="T283" s="359">
        <v>0.18550667796975542</v>
      </c>
      <c r="U283" s="359">
        <v>0.21310728355070049</v>
      </c>
      <c r="V283" s="359">
        <v>7.3364250696428643E-2</v>
      </c>
      <c r="W283" s="359">
        <v>1.9856733825595378E-2</v>
      </c>
      <c r="X283" s="359">
        <v>2.1261216059795113E-2</v>
      </c>
      <c r="Y283" s="396">
        <v>2.5879387454831333E-2</v>
      </c>
      <c r="Z283" s="403"/>
      <c r="AA283" s="352"/>
      <c r="AB283" s="1042"/>
      <c r="AC283" s="1009" t="s">
        <v>277</v>
      </c>
      <c r="AD283" s="252">
        <f>MATCH(RIGHT(O280),TECH_OPT_ROWS_Cls1,0)</f>
        <v>6</v>
      </c>
      <c r="AE283" s="1043"/>
      <c r="AF283" s="1043"/>
      <c r="AG283" s="1043"/>
      <c r="AH283" s="1043"/>
      <c r="AI283" s="1043"/>
    </row>
    <row r="284" spans="1:43" x14ac:dyDescent="0.2">
      <c r="A284" s="349" t="s">
        <v>125</v>
      </c>
      <c r="B284" s="1044">
        <f t="array" ref="B284:L284">TRANSPOSE(Cls1CentVMTShr)</f>
        <v>8.9762242961142352E-4</v>
      </c>
      <c r="C284" s="1045">
        <v>1.2044238150123706E-3</v>
      </c>
      <c r="D284" s="1045">
        <v>4.1499109643594731E-3</v>
      </c>
      <c r="E284" s="1045">
        <v>1.9575808105519295E-2</v>
      </c>
      <c r="F284" s="1045">
        <v>3.4523467949689302E-2</v>
      </c>
      <c r="G284" s="1045">
        <v>2.7311948935134379E-2</v>
      </c>
      <c r="H284" s="1045">
        <v>7.6478458482655817E-2</v>
      </c>
      <c r="I284" s="1045">
        <v>3.2480526319280681E-2</v>
      </c>
      <c r="J284" s="1045">
        <v>1.1772940427842455E-2</v>
      </c>
      <c r="K284" s="1045">
        <v>6.0339283082965706E-3</v>
      </c>
      <c r="L284" s="1046">
        <v>1.5952440951210019E-2</v>
      </c>
      <c r="M284" s="406"/>
      <c r="N284" s="352"/>
      <c r="O284" s="1044">
        <f t="array" ref="O284:Y284">TRANSPOSE(Cls1NCentVMTShr)</f>
        <v>1.3589913425833078E-3</v>
      </c>
      <c r="P284" s="1045">
        <v>5.8692629772239642E-3</v>
      </c>
      <c r="Q284" s="1045">
        <v>1.2100393581509007E-2</v>
      </c>
      <c r="R284" s="1045">
        <v>3.6555003327388577E-2</v>
      </c>
      <c r="S284" s="1045">
        <v>8.3148735051829181E-2</v>
      </c>
      <c r="T284" s="1045">
        <v>0.18151138394047112</v>
      </c>
      <c r="U284" s="1045">
        <v>0.2383386372324876</v>
      </c>
      <c r="V284" s="1045">
        <v>9.5602564448196578E-2</v>
      </c>
      <c r="W284" s="1045">
        <v>2.9193025028929166E-2</v>
      </c>
      <c r="X284" s="1045">
        <v>3.5209492159336005E-2</v>
      </c>
      <c r="Y284" s="1046">
        <v>5.0731034221433824E-2</v>
      </c>
      <c r="Z284" s="406"/>
      <c r="AA284" s="352"/>
      <c r="AB284" s="1574" t="str">
        <f>"% of miles on f2 for Tech "&amp; RIGHT(O280)&amp;" adopters"</f>
        <v>% of miles on f2 for Tech E adopters</v>
      </c>
      <c r="AC284" s="1575"/>
      <c r="AD284" s="1576"/>
      <c r="AE284" s="1043" t="s">
        <v>309</v>
      </c>
      <c r="AF284" s="1043"/>
      <c r="AG284" s="1043"/>
      <c r="AH284" s="1280" t="s">
        <v>320</v>
      </c>
      <c r="AI284" s="1043"/>
    </row>
    <row r="285" spans="1:43" s="1050" customFormat="1" ht="13.5" thickBot="1" x14ac:dyDescent="0.25">
      <c r="A285" s="1048" t="s">
        <v>275</v>
      </c>
      <c r="B285" s="1039">
        <f t="array" ref="B285:L285">TRANSPOSE(Cls1CentVMT/OPDAYS_Cls1)</f>
        <v>51.642967609234425</v>
      </c>
      <c r="C285" s="1040">
        <v>110.97733417848234</v>
      </c>
      <c r="D285" s="1040">
        <v>204.40224583551472</v>
      </c>
      <c r="E285" s="1040">
        <v>290.24610572847212</v>
      </c>
      <c r="F285" s="1040">
        <v>364.75750419264841</v>
      </c>
      <c r="G285" s="1040">
        <v>443.63126889109378</v>
      </c>
      <c r="H285" s="1040">
        <v>506.78134229373978</v>
      </c>
      <c r="I285" s="1040">
        <v>595.71283413609137</v>
      </c>
      <c r="J285" s="1040">
        <v>682.23089916089702</v>
      </c>
      <c r="K285" s="1040">
        <v>765.26438827532684</v>
      </c>
      <c r="L285" s="1041">
        <v>970.27871027310334</v>
      </c>
      <c r="M285" s="1037"/>
      <c r="N285" s="1038"/>
      <c r="O285" s="1039">
        <f t="array" ref="O285:Y285">TRANSPOSE(Cls1NCentVMT/OPDAYS_Cls1)</f>
        <v>47.924548633512046</v>
      </c>
      <c r="P285" s="1040">
        <v>112.56389213862748</v>
      </c>
      <c r="Q285" s="1040">
        <v>214.67280220238027</v>
      </c>
      <c r="R285" s="1040">
        <v>288.30186744262801</v>
      </c>
      <c r="S285" s="1040">
        <v>368.60089210549245</v>
      </c>
      <c r="T285" s="1040">
        <v>447.31558789932524</v>
      </c>
      <c r="U285" s="1040">
        <v>511.28831950097862</v>
      </c>
      <c r="V285" s="1040">
        <v>595.73726658362273</v>
      </c>
      <c r="W285" s="1040">
        <v>672.11099195240695</v>
      </c>
      <c r="X285" s="1040">
        <v>757.0793017898726</v>
      </c>
      <c r="Y285" s="1041">
        <v>896.16800791754974</v>
      </c>
      <c r="Z285" s="1049"/>
      <c r="AA285" s="1038"/>
      <c r="AB285" s="1051" t="s">
        <v>188</v>
      </c>
      <c r="AC285" s="1052" t="s">
        <v>15</v>
      </c>
      <c r="AD285" s="1053" t="s">
        <v>18</v>
      </c>
      <c r="AE285" s="1043" t="s">
        <v>188</v>
      </c>
      <c r="AF285" s="1043" t="s">
        <v>15</v>
      </c>
      <c r="AG285" s="1043" t="s">
        <v>18</v>
      </c>
      <c r="AH285" s="1280" t="s">
        <v>188</v>
      </c>
      <c r="AI285" s="1043" t="s">
        <v>15</v>
      </c>
      <c r="AJ285" s="341"/>
      <c r="AK285" s="341"/>
      <c r="AL285" s="341"/>
      <c r="AM285" s="341"/>
      <c r="AN285" s="245"/>
      <c r="AO285" s="245"/>
      <c r="AP285" s="245"/>
      <c r="AQ285" s="245"/>
    </row>
    <row r="286" spans="1:43" ht="13.5" thickTop="1" x14ac:dyDescent="0.2">
      <c r="A286" s="1047">
        <v>2007</v>
      </c>
      <c r="B286" s="360">
        <v>0</v>
      </c>
      <c r="C286" s="361">
        <v>0</v>
      </c>
      <c r="D286" s="361">
        <v>0</v>
      </c>
      <c r="E286" s="361">
        <v>0</v>
      </c>
      <c r="F286" s="361">
        <v>0</v>
      </c>
      <c r="G286" s="361">
        <v>0</v>
      </c>
      <c r="H286" s="361">
        <v>0</v>
      </c>
      <c r="I286" s="361">
        <v>0</v>
      </c>
      <c r="J286" s="361">
        <v>0</v>
      </c>
      <c r="K286" s="361">
        <v>0</v>
      </c>
      <c r="L286" s="397">
        <v>0</v>
      </c>
      <c r="M286" s="300">
        <f t="shared" ref="M286:M329" si="136">SUMPRODUCT($B$178:$L$178,$B286:$L286)</f>
        <v>0</v>
      </c>
      <c r="N286" s="302">
        <f t="shared" ref="N286:N329" si="137">SUMPRODUCT($B$177:$L$177,$B286:$L286)</f>
        <v>0</v>
      </c>
      <c r="O286" s="360">
        <v>0</v>
      </c>
      <c r="P286" s="361">
        <v>0</v>
      </c>
      <c r="Q286" s="361">
        <v>0</v>
      </c>
      <c r="R286" s="361">
        <v>0</v>
      </c>
      <c r="S286" s="361">
        <v>0</v>
      </c>
      <c r="T286" s="361">
        <v>0</v>
      </c>
      <c r="U286" s="361">
        <v>0</v>
      </c>
      <c r="V286" s="361">
        <v>0</v>
      </c>
      <c r="W286" s="361">
        <v>0</v>
      </c>
      <c r="X286" s="361">
        <v>0</v>
      </c>
      <c r="Y286" s="397">
        <v>0</v>
      </c>
      <c r="Z286" s="300">
        <f t="shared" ref="Z286:Z329" si="138">SUMPRODUCT($O$178:$Y$178,$O286:$Y286)</f>
        <v>0</v>
      </c>
      <c r="AA286" s="302">
        <f t="shared" ref="AA286:AA329" si="139">SUMPRODUCT($O$177:$Y$177,$O286:$Y286)</f>
        <v>0</v>
      </c>
      <c r="AB286" s="1054">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1055">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334">
        <f t="shared" ref="AD286:AD311" si="140">AB286*AH286+AC286*AI286</f>
        <v>0</v>
      </c>
      <c r="AE286" s="1043">
        <f t="shared" ref="AE286:AE300" si="141">SUMPRODUCT($B$74:$L$74,B286:L286)</f>
        <v>0</v>
      </c>
      <c r="AF286" s="1043">
        <f t="shared" ref="AF286:AF300" si="142">SUMPRODUCT($O$74:$Y$74,O286:Y286)</f>
        <v>0</v>
      </c>
      <c r="AG286" s="1043">
        <f t="shared" ref="AG286:AG300" si="143">SUM(AE286:AF286)</f>
        <v>0</v>
      </c>
      <c r="AH286" s="1280">
        <f>IF(AG286&gt;0,AE286/AG286,0)</f>
        <v>0</v>
      </c>
      <c r="AI286" s="1043">
        <f>IF(AG286&gt;0,AF286/AG286,0)</f>
        <v>0</v>
      </c>
      <c r="AJ286" s="1050"/>
      <c r="AK286" s="1050"/>
      <c r="AL286" s="1050"/>
      <c r="AM286" s="1050"/>
      <c r="AN286" s="1050"/>
      <c r="AO286" s="1050"/>
      <c r="AP286" s="1050"/>
      <c r="AQ286" s="1050"/>
    </row>
    <row r="287" spans="1:43" x14ac:dyDescent="0.2">
      <c r="A287" s="345">
        <v>2008</v>
      </c>
      <c r="B287" s="362">
        <v>0</v>
      </c>
      <c r="C287" s="363">
        <v>0</v>
      </c>
      <c r="D287" s="363">
        <v>0</v>
      </c>
      <c r="E287" s="363">
        <v>0</v>
      </c>
      <c r="F287" s="363">
        <v>0</v>
      </c>
      <c r="G287" s="363">
        <v>0</v>
      </c>
      <c r="H287" s="363">
        <v>0</v>
      </c>
      <c r="I287" s="363">
        <v>0</v>
      </c>
      <c r="J287" s="363">
        <v>0</v>
      </c>
      <c r="K287" s="363">
        <v>0</v>
      </c>
      <c r="L287" s="398">
        <v>0</v>
      </c>
      <c r="M287" s="314">
        <f t="shared" si="136"/>
        <v>0</v>
      </c>
      <c r="N287" s="316">
        <f t="shared" si="137"/>
        <v>0</v>
      </c>
      <c r="O287" s="362">
        <v>0</v>
      </c>
      <c r="P287" s="363">
        <v>0</v>
      </c>
      <c r="Q287" s="363">
        <v>0</v>
      </c>
      <c r="R287" s="363">
        <v>0</v>
      </c>
      <c r="S287" s="363">
        <v>0</v>
      </c>
      <c r="T287" s="363">
        <v>0</v>
      </c>
      <c r="U287" s="363">
        <v>0</v>
      </c>
      <c r="V287" s="363">
        <v>0</v>
      </c>
      <c r="W287" s="363">
        <v>0</v>
      </c>
      <c r="X287" s="363">
        <v>0</v>
      </c>
      <c r="Y287" s="398">
        <v>0</v>
      </c>
      <c r="Z287" s="314">
        <f t="shared" si="138"/>
        <v>0</v>
      </c>
      <c r="AA287" s="316">
        <f t="shared" si="139"/>
        <v>0</v>
      </c>
      <c r="AB287" s="1054">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1055">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334">
        <f t="shared" si="140"/>
        <v>0</v>
      </c>
      <c r="AE287" s="1043">
        <f t="shared" si="141"/>
        <v>0</v>
      </c>
      <c r="AF287" s="1043">
        <f t="shared" si="142"/>
        <v>0</v>
      </c>
      <c r="AG287" s="1043">
        <f t="shared" si="143"/>
        <v>0</v>
      </c>
      <c r="AH287" s="1280">
        <f t="shared" ref="AH287:AH329" si="144">IF(AG287&gt;0,AE287/AG287,0)</f>
        <v>0</v>
      </c>
      <c r="AI287" s="1043">
        <f t="shared" ref="AI287:AI329" si="145">IF(AG287&gt;0,AF287/AG287,0)</f>
        <v>0</v>
      </c>
    </row>
    <row r="288" spans="1:43" x14ac:dyDescent="0.2">
      <c r="A288" s="345">
        <v>2009</v>
      </c>
      <c r="B288" s="362">
        <v>0</v>
      </c>
      <c r="C288" s="363">
        <v>0</v>
      </c>
      <c r="D288" s="363">
        <v>0</v>
      </c>
      <c r="E288" s="363">
        <v>0</v>
      </c>
      <c r="F288" s="363">
        <v>0</v>
      </c>
      <c r="G288" s="363">
        <v>0</v>
      </c>
      <c r="H288" s="363">
        <v>0</v>
      </c>
      <c r="I288" s="363">
        <v>0</v>
      </c>
      <c r="J288" s="363">
        <v>0</v>
      </c>
      <c r="K288" s="363">
        <v>0</v>
      </c>
      <c r="L288" s="398">
        <v>0</v>
      </c>
      <c r="M288" s="314">
        <f t="shared" si="136"/>
        <v>0</v>
      </c>
      <c r="N288" s="316">
        <f t="shared" si="137"/>
        <v>0</v>
      </c>
      <c r="O288" s="362">
        <v>0</v>
      </c>
      <c r="P288" s="363">
        <v>0</v>
      </c>
      <c r="Q288" s="363">
        <v>0</v>
      </c>
      <c r="R288" s="363">
        <v>0</v>
      </c>
      <c r="S288" s="363">
        <v>0</v>
      </c>
      <c r="T288" s="363">
        <v>0</v>
      </c>
      <c r="U288" s="363">
        <v>0</v>
      </c>
      <c r="V288" s="363">
        <v>0</v>
      </c>
      <c r="W288" s="363">
        <v>0</v>
      </c>
      <c r="X288" s="363">
        <v>0</v>
      </c>
      <c r="Y288" s="398">
        <v>0</v>
      </c>
      <c r="Z288" s="314">
        <f t="shared" si="138"/>
        <v>0</v>
      </c>
      <c r="AA288" s="316">
        <f t="shared" si="139"/>
        <v>0</v>
      </c>
      <c r="AB288" s="1054">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1055">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334">
        <f t="shared" si="140"/>
        <v>0</v>
      </c>
      <c r="AE288" s="1043">
        <f t="shared" si="141"/>
        <v>0</v>
      </c>
      <c r="AF288" s="1043">
        <f t="shared" si="142"/>
        <v>0</v>
      </c>
      <c r="AG288" s="1043">
        <f t="shared" si="143"/>
        <v>0</v>
      </c>
      <c r="AH288" s="1280">
        <f t="shared" si="144"/>
        <v>0</v>
      </c>
      <c r="AI288" s="1043">
        <f t="shared" si="14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6"/>
        <v>0</v>
      </c>
      <c r="N289" s="330">
        <f t="shared" si="137"/>
        <v>0</v>
      </c>
      <c r="O289" s="364">
        <v>0</v>
      </c>
      <c r="P289" s="365">
        <v>0</v>
      </c>
      <c r="Q289" s="365">
        <v>0</v>
      </c>
      <c r="R289" s="365">
        <v>0</v>
      </c>
      <c r="S289" s="365">
        <v>0</v>
      </c>
      <c r="T289" s="365">
        <v>0</v>
      </c>
      <c r="U289" s="365">
        <v>0</v>
      </c>
      <c r="V289" s="365">
        <v>0</v>
      </c>
      <c r="W289" s="365">
        <v>0</v>
      </c>
      <c r="X289" s="365">
        <v>0</v>
      </c>
      <c r="Y289" s="399">
        <v>0</v>
      </c>
      <c r="Z289" s="328">
        <f t="shared" si="138"/>
        <v>0</v>
      </c>
      <c r="AA289" s="330">
        <f t="shared" si="139"/>
        <v>0</v>
      </c>
      <c r="AB289" s="1054">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1055">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334">
        <f t="shared" si="140"/>
        <v>0</v>
      </c>
      <c r="AE289" s="1043">
        <f t="shared" si="141"/>
        <v>0</v>
      </c>
      <c r="AF289" s="1043">
        <f t="shared" si="142"/>
        <v>0</v>
      </c>
      <c r="AG289" s="1043">
        <f t="shared" si="143"/>
        <v>0</v>
      </c>
      <c r="AH289" s="1280">
        <f t="shared" si="144"/>
        <v>0</v>
      </c>
      <c r="AI289" s="1043">
        <f t="shared" si="14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6"/>
        <v>0</v>
      </c>
      <c r="N290" s="302">
        <f t="shared" si="137"/>
        <v>0</v>
      </c>
      <c r="O290" s="360">
        <v>0</v>
      </c>
      <c r="P290" s="361">
        <v>0</v>
      </c>
      <c r="Q290" s="361">
        <v>0</v>
      </c>
      <c r="R290" s="361">
        <v>0</v>
      </c>
      <c r="S290" s="361">
        <v>0</v>
      </c>
      <c r="T290" s="361">
        <v>0</v>
      </c>
      <c r="U290" s="361">
        <v>0</v>
      </c>
      <c r="V290" s="361">
        <v>0</v>
      </c>
      <c r="W290" s="361">
        <v>0</v>
      </c>
      <c r="X290" s="361">
        <v>0</v>
      </c>
      <c r="Y290" s="397">
        <v>0</v>
      </c>
      <c r="Z290" s="300">
        <f t="shared" si="138"/>
        <v>0</v>
      </c>
      <c r="AA290" s="302">
        <f t="shared" si="139"/>
        <v>0</v>
      </c>
      <c r="AB290" s="1054">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1055">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334">
        <f t="shared" si="140"/>
        <v>0</v>
      </c>
      <c r="AE290" s="1043">
        <f t="shared" si="141"/>
        <v>0</v>
      </c>
      <c r="AF290" s="1043">
        <f t="shared" si="142"/>
        <v>0</v>
      </c>
      <c r="AG290" s="1043">
        <f t="shared" si="143"/>
        <v>0</v>
      </c>
      <c r="AH290" s="1280">
        <f t="shared" si="144"/>
        <v>0</v>
      </c>
      <c r="AI290" s="1043">
        <f t="shared" si="14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6"/>
        <v>0</v>
      </c>
      <c r="N291" s="316">
        <f t="shared" si="137"/>
        <v>0</v>
      </c>
      <c r="O291" s="362">
        <v>0</v>
      </c>
      <c r="P291" s="363">
        <v>0</v>
      </c>
      <c r="Q291" s="363">
        <v>0</v>
      </c>
      <c r="R291" s="363">
        <v>0</v>
      </c>
      <c r="S291" s="363">
        <v>0</v>
      </c>
      <c r="T291" s="363">
        <v>0</v>
      </c>
      <c r="U291" s="363">
        <v>0</v>
      </c>
      <c r="V291" s="363">
        <v>0</v>
      </c>
      <c r="W291" s="363">
        <v>0</v>
      </c>
      <c r="X291" s="363">
        <v>0</v>
      </c>
      <c r="Y291" s="398">
        <v>0</v>
      </c>
      <c r="Z291" s="314">
        <f t="shared" si="138"/>
        <v>0</v>
      </c>
      <c r="AA291" s="316">
        <f t="shared" si="139"/>
        <v>0</v>
      </c>
      <c r="AB291" s="1054">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1055">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334">
        <f t="shared" si="140"/>
        <v>0</v>
      </c>
      <c r="AE291" s="1043">
        <f t="shared" si="141"/>
        <v>0</v>
      </c>
      <c r="AF291" s="1043">
        <f t="shared" si="142"/>
        <v>0</v>
      </c>
      <c r="AG291" s="1043">
        <f t="shared" si="143"/>
        <v>0</v>
      </c>
      <c r="AH291" s="1280">
        <f t="shared" si="144"/>
        <v>0</v>
      </c>
      <c r="AI291" s="1043">
        <f t="shared" si="14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6"/>
        <v>0</v>
      </c>
      <c r="N292" s="316">
        <f t="shared" si="137"/>
        <v>0</v>
      </c>
      <c r="O292" s="362">
        <v>0</v>
      </c>
      <c r="P292" s="363">
        <v>0</v>
      </c>
      <c r="Q292" s="363">
        <v>0</v>
      </c>
      <c r="R292" s="363">
        <v>0</v>
      </c>
      <c r="S292" s="363">
        <v>0</v>
      </c>
      <c r="T292" s="363">
        <v>0</v>
      </c>
      <c r="U292" s="363">
        <v>0</v>
      </c>
      <c r="V292" s="363">
        <v>0</v>
      </c>
      <c r="W292" s="363">
        <v>0</v>
      </c>
      <c r="X292" s="363">
        <v>0</v>
      </c>
      <c r="Y292" s="398">
        <v>0</v>
      </c>
      <c r="Z292" s="314">
        <f t="shared" si="138"/>
        <v>0</v>
      </c>
      <c r="AA292" s="316">
        <f t="shared" si="139"/>
        <v>0</v>
      </c>
      <c r="AB292" s="1054">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1055">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334">
        <f t="shared" si="140"/>
        <v>0</v>
      </c>
      <c r="AE292" s="1043">
        <f t="shared" si="141"/>
        <v>0</v>
      </c>
      <c r="AF292" s="1043">
        <f t="shared" si="142"/>
        <v>0</v>
      </c>
      <c r="AG292" s="1043">
        <f t="shared" si="143"/>
        <v>0</v>
      </c>
      <c r="AH292" s="1280">
        <f t="shared" si="144"/>
        <v>0</v>
      </c>
      <c r="AI292" s="1043">
        <f t="shared" si="14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6"/>
        <v>0</v>
      </c>
      <c r="N293" s="316">
        <f t="shared" si="137"/>
        <v>0</v>
      </c>
      <c r="O293" s="362">
        <v>0</v>
      </c>
      <c r="P293" s="363">
        <v>0</v>
      </c>
      <c r="Q293" s="363">
        <v>0</v>
      </c>
      <c r="R293" s="363">
        <v>0</v>
      </c>
      <c r="S293" s="363">
        <v>0</v>
      </c>
      <c r="T293" s="363">
        <v>0</v>
      </c>
      <c r="U293" s="363">
        <v>0</v>
      </c>
      <c r="V293" s="363">
        <v>0</v>
      </c>
      <c r="W293" s="363">
        <v>0</v>
      </c>
      <c r="X293" s="363">
        <v>0</v>
      </c>
      <c r="Y293" s="398">
        <v>0</v>
      </c>
      <c r="Z293" s="314">
        <f t="shared" si="138"/>
        <v>0</v>
      </c>
      <c r="AA293" s="316">
        <f t="shared" si="139"/>
        <v>0</v>
      </c>
      <c r="AB293" s="1054">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1055">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334">
        <f t="shared" si="140"/>
        <v>0</v>
      </c>
      <c r="AE293" s="1043">
        <f t="shared" si="141"/>
        <v>0</v>
      </c>
      <c r="AF293" s="1043">
        <f t="shared" si="142"/>
        <v>0</v>
      </c>
      <c r="AG293" s="1043">
        <f t="shared" si="143"/>
        <v>0</v>
      </c>
      <c r="AH293" s="1280">
        <f t="shared" si="144"/>
        <v>0</v>
      </c>
      <c r="AI293" s="1043">
        <f t="shared" si="14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6"/>
        <v>0</v>
      </c>
      <c r="N294" s="330">
        <f t="shared" si="137"/>
        <v>0</v>
      </c>
      <c r="O294" s="364">
        <v>0</v>
      </c>
      <c r="P294" s="365">
        <v>0</v>
      </c>
      <c r="Q294" s="365">
        <v>0</v>
      </c>
      <c r="R294" s="365">
        <v>0</v>
      </c>
      <c r="S294" s="365">
        <v>0</v>
      </c>
      <c r="T294" s="365">
        <v>0</v>
      </c>
      <c r="U294" s="365">
        <v>0</v>
      </c>
      <c r="V294" s="365">
        <v>0</v>
      </c>
      <c r="W294" s="365">
        <v>0</v>
      </c>
      <c r="X294" s="365">
        <v>0</v>
      </c>
      <c r="Y294" s="399">
        <v>0</v>
      </c>
      <c r="Z294" s="328">
        <f t="shared" si="138"/>
        <v>0</v>
      </c>
      <c r="AA294" s="330">
        <f t="shared" si="139"/>
        <v>0</v>
      </c>
      <c r="AB294" s="1054">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1055">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334">
        <f t="shared" si="140"/>
        <v>0</v>
      </c>
      <c r="AE294" s="1043">
        <f t="shared" si="141"/>
        <v>0</v>
      </c>
      <c r="AF294" s="1043">
        <f t="shared" si="142"/>
        <v>0</v>
      </c>
      <c r="AG294" s="1043">
        <f t="shared" si="143"/>
        <v>0</v>
      </c>
      <c r="AH294" s="1280">
        <f t="shared" si="144"/>
        <v>0</v>
      </c>
      <c r="AI294" s="1043">
        <f t="shared" si="14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6"/>
        <v>0</v>
      </c>
      <c r="N295" s="302">
        <f t="shared" si="137"/>
        <v>0</v>
      </c>
      <c r="O295" s="360">
        <v>0</v>
      </c>
      <c r="P295" s="361">
        <v>0</v>
      </c>
      <c r="Q295" s="361">
        <v>0</v>
      </c>
      <c r="R295" s="361">
        <v>0</v>
      </c>
      <c r="S295" s="361">
        <v>0</v>
      </c>
      <c r="T295" s="361">
        <v>0</v>
      </c>
      <c r="U295" s="361">
        <v>0</v>
      </c>
      <c r="V295" s="361">
        <v>0</v>
      </c>
      <c r="W295" s="361">
        <v>0</v>
      </c>
      <c r="X295" s="361">
        <v>0</v>
      </c>
      <c r="Y295" s="397">
        <v>0</v>
      </c>
      <c r="Z295" s="300">
        <f t="shared" si="138"/>
        <v>0</v>
      </c>
      <c r="AA295" s="302">
        <f t="shared" si="139"/>
        <v>0</v>
      </c>
      <c r="AB295" s="1054">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1055">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334">
        <f t="shared" si="140"/>
        <v>0</v>
      </c>
      <c r="AE295" s="1043">
        <f t="shared" si="141"/>
        <v>0</v>
      </c>
      <c r="AF295" s="1043">
        <f t="shared" si="142"/>
        <v>0</v>
      </c>
      <c r="AG295" s="1043">
        <f t="shared" si="143"/>
        <v>0</v>
      </c>
      <c r="AH295" s="1280">
        <f t="shared" si="144"/>
        <v>0</v>
      </c>
      <c r="AI295" s="1043">
        <f t="shared" si="14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6"/>
        <v>0</v>
      </c>
      <c r="N296" s="316">
        <f t="shared" si="137"/>
        <v>0</v>
      </c>
      <c r="O296" s="362">
        <v>0</v>
      </c>
      <c r="P296" s="363">
        <v>0</v>
      </c>
      <c r="Q296" s="363">
        <v>0</v>
      </c>
      <c r="R296" s="363">
        <v>0</v>
      </c>
      <c r="S296" s="363">
        <v>0</v>
      </c>
      <c r="T296" s="363">
        <v>0</v>
      </c>
      <c r="U296" s="363">
        <v>0</v>
      </c>
      <c r="V296" s="363">
        <v>0</v>
      </c>
      <c r="W296" s="363">
        <v>0</v>
      </c>
      <c r="X296" s="363">
        <v>0</v>
      </c>
      <c r="Y296" s="398">
        <v>0</v>
      </c>
      <c r="Z296" s="314">
        <f t="shared" si="138"/>
        <v>0</v>
      </c>
      <c r="AA296" s="316">
        <f t="shared" si="139"/>
        <v>0</v>
      </c>
      <c r="AB296" s="1054">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1055">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334">
        <f t="shared" si="140"/>
        <v>0</v>
      </c>
      <c r="AE296" s="1043">
        <f t="shared" si="141"/>
        <v>0</v>
      </c>
      <c r="AF296" s="1043">
        <f t="shared" si="142"/>
        <v>0</v>
      </c>
      <c r="AG296" s="1043">
        <f t="shared" si="143"/>
        <v>0</v>
      </c>
      <c r="AH296" s="1280">
        <f t="shared" si="144"/>
        <v>0</v>
      </c>
      <c r="AI296" s="1043">
        <f t="shared" si="14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6"/>
        <v>0</v>
      </c>
      <c r="N297" s="316">
        <f t="shared" si="137"/>
        <v>0</v>
      </c>
      <c r="O297" s="362">
        <v>0</v>
      </c>
      <c r="P297" s="363">
        <v>0</v>
      </c>
      <c r="Q297" s="363">
        <v>0</v>
      </c>
      <c r="R297" s="363">
        <v>0</v>
      </c>
      <c r="S297" s="363">
        <v>0</v>
      </c>
      <c r="T297" s="363">
        <v>0</v>
      </c>
      <c r="U297" s="363">
        <v>0</v>
      </c>
      <c r="V297" s="363">
        <v>0</v>
      </c>
      <c r="W297" s="363">
        <v>0</v>
      </c>
      <c r="X297" s="363">
        <v>0</v>
      </c>
      <c r="Y297" s="398">
        <v>0</v>
      </c>
      <c r="Z297" s="314">
        <f t="shared" si="138"/>
        <v>0</v>
      </c>
      <c r="AA297" s="316">
        <f t="shared" si="139"/>
        <v>0</v>
      </c>
      <c r="AB297" s="1054">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1055">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334">
        <f t="shared" si="140"/>
        <v>0</v>
      </c>
      <c r="AE297" s="1043">
        <f t="shared" si="141"/>
        <v>0</v>
      </c>
      <c r="AF297" s="1043">
        <f t="shared" si="142"/>
        <v>0</v>
      </c>
      <c r="AG297" s="1043">
        <f t="shared" si="143"/>
        <v>0</v>
      </c>
      <c r="AH297" s="1280">
        <f t="shared" si="144"/>
        <v>0</v>
      </c>
      <c r="AI297" s="1043">
        <f t="shared" si="14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6"/>
        <v>0</v>
      </c>
      <c r="N298" s="316">
        <f t="shared" si="137"/>
        <v>0</v>
      </c>
      <c r="O298" s="362">
        <v>0</v>
      </c>
      <c r="P298" s="363">
        <v>0</v>
      </c>
      <c r="Q298" s="363">
        <v>0</v>
      </c>
      <c r="R298" s="363">
        <v>0</v>
      </c>
      <c r="S298" s="363">
        <v>0</v>
      </c>
      <c r="T298" s="363">
        <v>0</v>
      </c>
      <c r="U298" s="363">
        <v>0</v>
      </c>
      <c r="V298" s="363">
        <v>0</v>
      </c>
      <c r="W298" s="363">
        <v>0</v>
      </c>
      <c r="X298" s="363">
        <v>0</v>
      </c>
      <c r="Y298" s="398">
        <v>0</v>
      </c>
      <c r="Z298" s="314">
        <f t="shared" si="138"/>
        <v>0</v>
      </c>
      <c r="AA298" s="316">
        <f t="shared" si="139"/>
        <v>0</v>
      </c>
      <c r="AB298" s="1054">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1055">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334">
        <f t="shared" si="140"/>
        <v>0</v>
      </c>
      <c r="AE298" s="1043">
        <f t="shared" si="141"/>
        <v>0</v>
      </c>
      <c r="AF298" s="1043">
        <f t="shared" si="142"/>
        <v>0</v>
      </c>
      <c r="AG298" s="1043">
        <f t="shared" si="143"/>
        <v>0</v>
      </c>
      <c r="AH298" s="1280">
        <f t="shared" si="144"/>
        <v>0</v>
      </c>
      <c r="AI298" s="1043">
        <f t="shared" si="14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6"/>
        <v>0</v>
      </c>
      <c r="N299" s="330">
        <f t="shared" si="137"/>
        <v>0</v>
      </c>
      <c r="O299" s="364">
        <v>0</v>
      </c>
      <c r="P299" s="365">
        <v>0</v>
      </c>
      <c r="Q299" s="365">
        <v>0</v>
      </c>
      <c r="R299" s="365">
        <v>0</v>
      </c>
      <c r="S299" s="365">
        <v>0</v>
      </c>
      <c r="T299" s="365">
        <v>0</v>
      </c>
      <c r="U299" s="365">
        <v>0</v>
      </c>
      <c r="V299" s="365">
        <v>0</v>
      </c>
      <c r="W299" s="365">
        <v>0</v>
      </c>
      <c r="X299" s="365">
        <v>0</v>
      </c>
      <c r="Y299" s="399">
        <v>0</v>
      </c>
      <c r="Z299" s="328">
        <f t="shared" si="138"/>
        <v>0</v>
      </c>
      <c r="AA299" s="330">
        <f t="shared" si="139"/>
        <v>0</v>
      </c>
      <c r="AB299" s="1054">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1055">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334">
        <f t="shared" si="140"/>
        <v>0</v>
      </c>
      <c r="AE299" s="1043">
        <f t="shared" si="141"/>
        <v>0</v>
      </c>
      <c r="AF299" s="1043">
        <f t="shared" si="142"/>
        <v>0</v>
      </c>
      <c r="AG299" s="1043">
        <f t="shared" si="143"/>
        <v>0</v>
      </c>
      <c r="AH299" s="1280">
        <f t="shared" si="144"/>
        <v>0</v>
      </c>
      <c r="AI299" s="1043">
        <f t="shared" si="14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6"/>
        <v>0</v>
      </c>
      <c r="N300" s="302">
        <f t="shared" si="137"/>
        <v>0</v>
      </c>
      <c r="O300" s="360">
        <v>0</v>
      </c>
      <c r="P300" s="361">
        <v>0</v>
      </c>
      <c r="Q300" s="361">
        <v>0</v>
      </c>
      <c r="R300" s="361">
        <v>0</v>
      </c>
      <c r="S300" s="361">
        <v>0</v>
      </c>
      <c r="T300" s="361">
        <v>0</v>
      </c>
      <c r="U300" s="361">
        <v>0</v>
      </c>
      <c r="V300" s="361">
        <v>0</v>
      </c>
      <c r="W300" s="361">
        <v>0</v>
      </c>
      <c r="X300" s="361">
        <v>0</v>
      </c>
      <c r="Y300" s="397">
        <v>0</v>
      </c>
      <c r="Z300" s="300">
        <f t="shared" si="138"/>
        <v>0</v>
      </c>
      <c r="AA300" s="302">
        <f t="shared" si="139"/>
        <v>0</v>
      </c>
      <c r="AB300" s="1054">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1055">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334">
        <f t="shared" si="140"/>
        <v>0</v>
      </c>
      <c r="AE300" s="1043">
        <f t="shared" si="141"/>
        <v>0</v>
      </c>
      <c r="AF300" s="1043">
        <f t="shared" si="142"/>
        <v>0</v>
      </c>
      <c r="AG300" s="1043">
        <f t="shared" si="143"/>
        <v>0</v>
      </c>
      <c r="AH300" s="1280">
        <f t="shared" si="144"/>
        <v>0</v>
      </c>
      <c r="AI300" s="1043">
        <f t="shared" si="14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6"/>
        <v>0</v>
      </c>
      <c r="N301" s="316">
        <f t="shared" si="137"/>
        <v>0</v>
      </c>
      <c r="O301" s="362">
        <v>0</v>
      </c>
      <c r="P301" s="363">
        <v>0</v>
      </c>
      <c r="Q301" s="363">
        <v>0</v>
      </c>
      <c r="R301" s="363">
        <v>0</v>
      </c>
      <c r="S301" s="363">
        <v>0</v>
      </c>
      <c r="T301" s="363">
        <v>0</v>
      </c>
      <c r="U301" s="363">
        <v>0</v>
      </c>
      <c r="V301" s="363">
        <v>0</v>
      </c>
      <c r="W301" s="363">
        <v>0</v>
      </c>
      <c r="X301" s="363">
        <v>0</v>
      </c>
      <c r="Y301" s="398">
        <v>0</v>
      </c>
      <c r="Z301" s="314">
        <f t="shared" si="138"/>
        <v>0</v>
      </c>
      <c r="AA301" s="316">
        <f t="shared" si="139"/>
        <v>0</v>
      </c>
      <c r="AB301" s="1054">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1055">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334">
        <f t="shared" si="140"/>
        <v>0</v>
      </c>
      <c r="AE301" s="1043">
        <f>SUMPRODUCT($B$74:$L$74,B301:L301)</f>
        <v>0</v>
      </c>
      <c r="AF301" s="1043">
        <f>SUMPRODUCT($O$74:$Y$74,O301:Y301)</f>
        <v>0</v>
      </c>
      <c r="AG301" s="1043">
        <f>SUM(AE301:AF301)</f>
        <v>0</v>
      </c>
      <c r="AH301" s="1280">
        <f t="shared" si="144"/>
        <v>0</v>
      </c>
      <c r="AI301" s="1043">
        <f t="shared" si="14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6"/>
        <v>0</v>
      </c>
      <c r="N302" s="316">
        <f t="shared" si="137"/>
        <v>0</v>
      </c>
      <c r="O302" s="362">
        <v>0</v>
      </c>
      <c r="P302" s="363">
        <v>0</v>
      </c>
      <c r="Q302" s="363">
        <v>0</v>
      </c>
      <c r="R302" s="363">
        <v>0</v>
      </c>
      <c r="S302" s="363">
        <v>0</v>
      </c>
      <c r="T302" s="363">
        <v>0</v>
      </c>
      <c r="U302" s="363">
        <v>0</v>
      </c>
      <c r="V302" s="363">
        <v>0</v>
      </c>
      <c r="W302" s="363">
        <v>0</v>
      </c>
      <c r="X302" s="363">
        <v>0</v>
      </c>
      <c r="Y302" s="398">
        <v>0</v>
      </c>
      <c r="Z302" s="314">
        <f t="shared" si="138"/>
        <v>0</v>
      </c>
      <c r="AA302" s="316">
        <f t="shared" si="139"/>
        <v>0</v>
      </c>
      <c r="AB302" s="1054">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1055">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334">
        <f t="shared" si="140"/>
        <v>0</v>
      </c>
      <c r="AE302" s="1043">
        <f t="shared" ref="AE302:AE329" si="146">SUMPRODUCT($B$74:$L$74,B302:L302)</f>
        <v>0</v>
      </c>
      <c r="AF302" s="1043">
        <f t="shared" ref="AF302:AF329" si="147">SUMPRODUCT($O$74:$Y$74,O302:Y302)</f>
        <v>0</v>
      </c>
      <c r="AG302" s="1043">
        <f t="shared" ref="AG302:AG329" si="148">SUM(AE302:AF302)</f>
        <v>0</v>
      </c>
      <c r="AH302" s="1280">
        <f t="shared" si="144"/>
        <v>0</v>
      </c>
      <c r="AI302" s="1043">
        <f t="shared" si="14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6"/>
        <v>0</v>
      </c>
      <c r="N303" s="316">
        <f t="shared" si="137"/>
        <v>0</v>
      </c>
      <c r="O303" s="362">
        <v>0</v>
      </c>
      <c r="P303" s="363">
        <v>0</v>
      </c>
      <c r="Q303" s="363">
        <v>0</v>
      </c>
      <c r="R303" s="363">
        <v>0</v>
      </c>
      <c r="S303" s="363">
        <v>0</v>
      </c>
      <c r="T303" s="363">
        <v>0</v>
      </c>
      <c r="U303" s="363">
        <v>0</v>
      </c>
      <c r="V303" s="363">
        <v>0</v>
      </c>
      <c r="W303" s="363">
        <v>0</v>
      </c>
      <c r="X303" s="363">
        <v>0</v>
      </c>
      <c r="Y303" s="398">
        <v>0</v>
      </c>
      <c r="Z303" s="314">
        <f t="shared" si="138"/>
        <v>0</v>
      </c>
      <c r="AA303" s="316">
        <f t="shared" si="139"/>
        <v>0</v>
      </c>
      <c r="AB303" s="1054">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1055">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334">
        <f t="shared" si="140"/>
        <v>0</v>
      </c>
      <c r="AE303" s="1043">
        <f t="shared" si="146"/>
        <v>0</v>
      </c>
      <c r="AF303" s="1043">
        <f t="shared" si="147"/>
        <v>0</v>
      </c>
      <c r="AG303" s="1043">
        <f t="shared" si="148"/>
        <v>0</v>
      </c>
      <c r="AH303" s="1280">
        <f t="shared" si="144"/>
        <v>0</v>
      </c>
      <c r="AI303" s="1043">
        <f t="shared" si="14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6"/>
        <v>0</v>
      </c>
      <c r="N304" s="330">
        <f t="shared" si="137"/>
        <v>0</v>
      </c>
      <c r="O304" s="364">
        <v>0</v>
      </c>
      <c r="P304" s="365">
        <v>0</v>
      </c>
      <c r="Q304" s="365">
        <v>0</v>
      </c>
      <c r="R304" s="365">
        <v>0</v>
      </c>
      <c r="S304" s="365">
        <v>0</v>
      </c>
      <c r="T304" s="365">
        <v>0</v>
      </c>
      <c r="U304" s="365">
        <v>0</v>
      </c>
      <c r="V304" s="365">
        <v>0</v>
      </c>
      <c r="W304" s="365">
        <v>0</v>
      </c>
      <c r="X304" s="365">
        <v>0</v>
      </c>
      <c r="Y304" s="399">
        <v>0</v>
      </c>
      <c r="Z304" s="328">
        <f t="shared" si="138"/>
        <v>0</v>
      </c>
      <c r="AA304" s="330">
        <f t="shared" si="139"/>
        <v>0</v>
      </c>
      <c r="AB304" s="1054">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1055">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334">
        <f t="shared" si="140"/>
        <v>0</v>
      </c>
      <c r="AE304" s="1043">
        <f t="shared" si="146"/>
        <v>0</v>
      </c>
      <c r="AF304" s="1043">
        <f t="shared" si="147"/>
        <v>0</v>
      </c>
      <c r="AG304" s="1043">
        <f t="shared" si="148"/>
        <v>0</v>
      </c>
      <c r="AH304" s="1280">
        <f t="shared" si="144"/>
        <v>0</v>
      </c>
      <c r="AI304" s="1043">
        <f t="shared" si="14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6"/>
        <v>0</v>
      </c>
      <c r="N305" s="302">
        <f t="shared" si="137"/>
        <v>0</v>
      </c>
      <c r="O305" s="360">
        <v>0</v>
      </c>
      <c r="P305" s="361">
        <v>0</v>
      </c>
      <c r="Q305" s="361">
        <v>0</v>
      </c>
      <c r="R305" s="361">
        <v>0</v>
      </c>
      <c r="S305" s="361">
        <v>0</v>
      </c>
      <c r="T305" s="361">
        <v>0</v>
      </c>
      <c r="U305" s="361">
        <v>0</v>
      </c>
      <c r="V305" s="361">
        <v>0</v>
      </c>
      <c r="W305" s="361">
        <v>0</v>
      </c>
      <c r="X305" s="361">
        <v>0</v>
      </c>
      <c r="Y305" s="397">
        <v>0</v>
      </c>
      <c r="Z305" s="300">
        <f t="shared" si="138"/>
        <v>0</v>
      </c>
      <c r="AA305" s="302">
        <f t="shared" si="139"/>
        <v>0</v>
      </c>
      <c r="AB305" s="1054">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1055">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334">
        <f t="shared" si="140"/>
        <v>0</v>
      </c>
      <c r="AE305" s="1043">
        <f t="shared" si="146"/>
        <v>0</v>
      </c>
      <c r="AF305" s="1043">
        <f t="shared" si="147"/>
        <v>0</v>
      </c>
      <c r="AG305" s="1043">
        <f t="shared" si="148"/>
        <v>0</v>
      </c>
      <c r="AH305" s="1280">
        <f t="shared" si="144"/>
        <v>0</v>
      </c>
      <c r="AI305" s="1043">
        <f t="shared" si="14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6"/>
        <v>0</v>
      </c>
      <c r="N306" s="316">
        <f t="shared" si="137"/>
        <v>0</v>
      </c>
      <c r="O306" s="362">
        <v>0</v>
      </c>
      <c r="P306" s="363">
        <v>0</v>
      </c>
      <c r="Q306" s="363">
        <v>0</v>
      </c>
      <c r="R306" s="363">
        <v>0</v>
      </c>
      <c r="S306" s="363">
        <v>0</v>
      </c>
      <c r="T306" s="363">
        <v>0</v>
      </c>
      <c r="U306" s="363">
        <v>0</v>
      </c>
      <c r="V306" s="363">
        <v>0</v>
      </c>
      <c r="W306" s="363">
        <v>0</v>
      </c>
      <c r="X306" s="363">
        <v>0</v>
      </c>
      <c r="Y306" s="398">
        <v>0</v>
      </c>
      <c r="Z306" s="314">
        <f t="shared" si="138"/>
        <v>0</v>
      </c>
      <c r="AA306" s="316">
        <f t="shared" si="139"/>
        <v>0</v>
      </c>
      <c r="AB306" s="1054">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1055">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334">
        <f t="shared" si="140"/>
        <v>0</v>
      </c>
      <c r="AE306" s="1043">
        <f t="shared" si="146"/>
        <v>0</v>
      </c>
      <c r="AF306" s="1043">
        <f t="shared" si="147"/>
        <v>0</v>
      </c>
      <c r="AG306" s="1043">
        <f t="shared" si="148"/>
        <v>0</v>
      </c>
      <c r="AH306" s="1280">
        <f t="shared" si="144"/>
        <v>0</v>
      </c>
      <c r="AI306" s="1043">
        <f t="shared" si="14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6"/>
        <v>0</v>
      </c>
      <c r="N307" s="316">
        <f t="shared" si="137"/>
        <v>0</v>
      </c>
      <c r="O307" s="362">
        <v>0</v>
      </c>
      <c r="P307" s="363">
        <v>0</v>
      </c>
      <c r="Q307" s="363">
        <v>0</v>
      </c>
      <c r="R307" s="363">
        <v>0</v>
      </c>
      <c r="S307" s="363">
        <v>0</v>
      </c>
      <c r="T307" s="363">
        <v>0</v>
      </c>
      <c r="U307" s="363">
        <v>0</v>
      </c>
      <c r="V307" s="363">
        <v>0</v>
      </c>
      <c r="W307" s="363">
        <v>0</v>
      </c>
      <c r="X307" s="363">
        <v>0</v>
      </c>
      <c r="Y307" s="398">
        <v>0</v>
      </c>
      <c r="Z307" s="314">
        <f t="shared" si="138"/>
        <v>0</v>
      </c>
      <c r="AA307" s="316">
        <f t="shared" si="139"/>
        <v>0</v>
      </c>
      <c r="AB307" s="1054">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1055">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334">
        <f t="shared" si="140"/>
        <v>0</v>
      </c>
      <c r="AE307" s="1043">
        <f t="shared" si="146"/>
        <v>0</v>
      </c>
      <c r="AF307" s="1043">
        <f t="shared" si="147"/>
        <v>0</v>
      </c>
      <c r="AG307" s="1043">
        <f t="shared" si="148"/>
        <v>0</v>
      </c>
      <c r="AH307" s="1280">
        <f t="shared" si="144"/>
        <v>0</v>
      </c>
      <c r="AI307" s="1043">
        <f t="shared" si="14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6"/>
        <v>0</v>
      </c>
      <c r="N308" s="316">
        <f t="shared" si="137"/>
        <v>0</v>
      </c>
      <c r="O308" s="362">
        <v>0</v>
      </c>
      <c r="P308" s="363">
        <v>0</v>
      </c>
      <c r="Q308" s="363">
        <v>0</v>
      </c>
      <c r="R308" s="363">
        <v>0</v>
      </c>
      <c r="S308" s="363">
        <v>0</v>
      </c>
      <c r="T308" s="363">
        <v>0</v>
      </c>
      <c r="U308" s="363">
        <v>0</v>
      </c>
      <c r="V308" s="363">
        <v>0</v>
      </c>
      <c r="W308" s="363">
        <v>0</v>
      </c>
      <c r="X308" s="363">
        <v>0</v>
      </c>
      <c r="Y308" s="398">
        <v>0</v>
      </c>
      <c r="Z308" s="314">
        <f t="shared" si="138"/>
        <v>0</v>
      </c>
      <c r="AA308" s="316">
        <f t="shared" si="139"/>
        <v>0</v>
      </c>
      <c r="AB308" s="1054">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1055">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334">
        <f t="shared" si="140"/>
        <v>0</v>
      </c>
      <c r="AE308" s="1043">
        <f t="shared" si="146"/>
        <v>0</v>
      </c>
      <c r="AF308" s="1043">
        <f t="shared" si="147"/>
        <v>0</v>
      </c>
      <c r="AG308" s="1043">
        <f t="shared" si="148"/>
        <v>0</v>
      </c>
      <c r="AH308" s="1280">
        <f t="shared" si="144"/>
        <v>0</v>
      </c>
      <c r="AI308" s="1043">
        <f t="shared" si="14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6"/>
        <v>0</v>
      </c>
      <c r="N309" s="330">
        <f t="shared" si="137"/>
        <v>0</v>
      </c>
      <c r="O309" s="364">
        <v>0</v>
      </c>
      <c r="P309" s="365">
        <v>0</v>
      </c>
      <c r="Q309" s="365">
        <v>0</v>
      </c>
      <c r="R309" s="365">
        <v>0</v>
      </c>
      <c r="S309" s="365">
        <v>0</v>
      </c>
      <c r="T309" s="365">
        <v>0</v>
      </c>
      <c r="U309" s="365">
        <v>0</v>
      </c>
      <c r="V309" s="365">
        <v>0</v>
      </c>
      <c r="W309" s="365">
        <v>0</v>
      </c>
      <c r="X309" s="365">
        <v>0</v>
      </c>
      <c r="Y309" s="399">
        <v>0</v>
      </c>
      <c r="Z309" s="328">
        <f t="shared" si="138"/>
        <v>0</v>
      </c>
      <c r="AA309" s="330">
        <f t="shared" si="139"/>
        <v>0</v>
      </c>
      <c r="AB309" s="1054">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1055">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334">
        <f t="shared" si="140"/>
        <v>0</v>
      </c>
      <c r="AE309" s="1043">
        <f t="shared" si="146"/>
        <v>0</v>
      </c>
      <c r="AF309" s="1043">
        <f t="shared" si="147"/>
        <v>0</v>
      </c>
      <c r="AG309" s="1043">
        <f t="shared" si="148"/>
        <v>0</v>
      </c>
      <c r="AH309" s="1280">
        <f t="shared" si="144"/>
        <v>0</v>
      </c>
      <c r="AI309" s="1043">
        <f t="shared" si="14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6"/>
        <v>0</v>
      </c>
      <c r="N310" s="302">
        <f t="shared" si="137"/>
        <v>0</v>
      </c>
      <c r="O310" s="360">
        <v>0</v>
      </c>
      <c r="P310" s="361">
        <v>0</v>
      </c>
      <c r="Q310" s="361">
        <v>0</v>
      </c>
      <c r="R310" s="361">
        <v>0</v>
      </c>
      <c r="S310" s="361">
        <v>0</v>
      </c>
      <c r="T310" s="361">
        <v>0</v>
      </c>
      <c r="U310" s="361">
        <v>0</v>
      </c>
      <c r="V310" s="361">
        <v>0</v>
      </c>
      <c r="W310" s="361">
        <v>0</v>
      </c>
      <c r="X310" s="361">
        <v>0</v>
      </c>
      <c r="Y310" s="397">
        <v>0</v>
      </c>
      <c r="Z310" s="300">
        <f t="shared" si="138"/>
        <v>0</v>
      </c>
      <c r="AA310" s="302">
        <f t="shared" si="139"/>
        <v>0</v>
      </c>
      <c r="AB310" s="1054">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1055">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334">
        <f t="shared" si="140"/>
        <v>0</v>
      </c>
      <c r="AE310" s="1043">
        <f t="shared" si="146"/>
        <v>0</v>
      </c>
      <c r="AF310" s="1043">
        <f t="shared" si="147"/>
        <v>0</v>
      </c>
      <c r="AG310" s="1043">
        <f t="shared" si="148"/>
        <v>0</v>
      </c>
      <c r="AH310" s="1280">
        <f t="shared" si="144"/>
        <v>0</v>
      </c>
      <c r="AI310" s="1043">
        <f t="shared" si="14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6"/>
        <v>0</v>
      </c>
      <c r="N311" s="316">
        <f t="shared" si="137"/>
        <v>0</v>
      </c>
      <c r="O311" s="362">
        <v>0</v>
      </c>
      <c r="P311" s="363">
        <v>0</v>
      </c>
      <c r="Q311" s="363">
        <v>0</v>
      </c>
      <c r="R311" s="363">
        <v>0</v>
      </c>
      <c r="S311" s="363">
        <v>0</v>
      </c>
      <c r="T311" s="363">
        <v>0</v>
      </c>
      <c r="U311" s="363">
        <v>0</v>
      </c>
      <c r="V311" s="363">
        <v>0</v>
      </c>
      <c r="W311" s="363">
        <v>0</v>
      </c>
      <c r="X311" s="363">
        <v>0</v>
      </c>
      <c r="Y311" s="398">
        <v>0</v>
      </c>
      <c r="Z311" s="314">
        <f t="shared" si="138"/>
        <v>0</v>
      </c>
      <c r="AA311" s="316">
        <f t="shared" si="139"/>
        <v>0</v>
      </c>
      <c r="AB311" s="1054">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1055">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334">
        <f t="shared" si="140"/>
        <v>0</v>
      </c>
      <c r="AE311" s="1043">
        <f t="shared" si="146"/>
        <v>0</v>
      </c>
      <c r="AF311" s="1043">
        <f t="shared" si="147"/>
        <v>0</v>
      </c>
      <c r="AG311" s="1043">
        <f t="shared" si="148"/>
        <v>0</v>
      </c>
      <c r="AH311" s="1280">
        <f t="shared" si="144"/>
        <v>0</v>
      </c>
      <c r="AI311" s="1043">
        <f t="shared" si="14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6"/>
        <v>0</v>
      </c>
      <c r="N312" s="316">
        <f t="shared" si="137"/>
        <v>0</v>
      </c>
      <c r="O312" s="362">
        <v>0</v>
      </c>
      <c r="P312" s="363">
        <v>0</v>
      </c>
      <c r="Q312" s="363">
        <v>0</v>
      </c>
      <c r="R312" s="363">
        <v>0</v>
      </c>
      <c r="S312" s="363">
        <v>0</v>
      </c>
      <c r="T312" s="363">
        <v>0</v>
      </c>
      <c r="U312" s="363">
        <v>0</v>
      </c>
      <c r="V312" s="363">
        <v>0</v>
      </c>
      <c r="W312" s="363">
        <v>0</v>
      </c>
      <c r="X312" s="363">
        <v>0</v>
      </c>
      <c r="Y312" s="398">
        <v>0</v>
      </c>
      <c r="Z312" s="314">
        <f t="shared" si="138"/>
        <v>0</v>
      </c>
      <c r="AA312" s="316">
        <f t="shared" si="139"/>
        <v>0</v>
      </c>
      <c r="AB312" s="1054">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1055">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334">
        <f>AB312*AH312+AC312*AI312</f>
        <v>0</v>
      </c>
      <c r="AE312" s="1043">
        <f t="shared" si="146"/>
        <v>0</v>
      </c>
      <c r="AF312" s="1043">
        <f t="shared" si="147"/>
        <v>0</v>
      </c>
      <c r="AG312" s="1043">
        <f t="shared" si="148"/>
        <v>0</v>
      </c>
      <c r="AH312" s="1280">
        <f t="shared" si="144"/>
        <v>0</v>
      </c>
      <c r="AI312" s="1043">
        <f t="shared" si="14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6"/>
        <v>0</v>
      </c>
      <c r="N313" s="316">
        <f t="shared" si="137"/>
        <v>0</v>
      </c>
      <c r="O313" s="362">
        <v>0</v>
      </c>
      <c r="P313" s="363">
        <v>0</v>
      </c>
      <c r="Q313" s="363">
        <v>0</v>
      </c>
      <c r="R313" s="363">
        <v>0</v>
      </c>
      <c r="S313" s="363">
        <v>0</v>
      </c>
      <c r="T313" s="363">
        <v>0</v>
      </c>
      <c r="U313" s="363">
        <v>0</v>
      </c>
      <c r="V313" s="363">
        <v>0</v>
      </c>
      <c r="W313" s="363">
        <v>0</v>
      </c>
      <c r="X313" s="363">
        <v>0</v>
      </c>
      <c r="Y313" s="398">
        <v>0</v>
      </c>
      <c r="Z313" s="314">
        <f t="shared" si="138"/>
        <v>0</v>
      </c>
      <c r="AA313" s="316">
        <f t="shared" si="139"/>
        <v>0</v>
      </c>
      <c r="AB313" s="1054">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1055">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334">
        <f t="shared" ref="AD313:AD329" si="149">AB313*AH313+AC313*AI313</f>
        <v>0</v>
      </c>
      <c r="AE313" s="1043">
        <f t="shared" si="146"/>
        <v>0</v>
      </c>
      <c r="AF313" s="1043">
        <f t="shared" si="147"/>
        <v>0</v>
      </c>
      <c r="AG313" s="1043">
        <f t="shared" si="148"/>
        <v>0</v>
      </c>
      <c r="AH313" s="1280">
        <f t="shared" si="144"/>
        <v>0</v>
      </c>
      <c r="AI313" s="1043">
        <f t="shared" si="14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6"/>
        <v>0</v>
      </c>
      <c r="N314" s="330">
        <f t="shared" si="137"/>
        <v>0</v>
      </c>
      <c r="O314" s="364">
        <v>0</v>
      </c>
      <c r="P314" s="365">
        <v>0</v>
      </c>
      <c r="Q314" s="365">
        <v>0</v>
      </c>
      <c r="R314" s="365">
        <v>0</v>
      </c>
      <c r="S314" s="365">
        <v>0</v>
      </c>
      <c r="T314" s="365">
        <v>0</v>
      </c>
      <c r="U314" s="365">
        <v>0</v>
      </c>
      <c r="V314" s="365">
        <v>0</v>
      </c>
      <c r="W314" s="365">
        <v>0</v>
      </c>
      <c r="X314" s="365">
        <v>0</v>
      </c>
      <c r="Y314" s="399">
        <v>0</v>
      </c>
      <c r="Z314" s="328">
        <f t="shared" si="138"/>
        <v>0</v>
      </c>
      <c r="AA314" s="330">
        <f t="shared" si="139"/>
        <v>0</v>
      </c>
      <c r="AB314" s="1054">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1055">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334">
        <f t="shared" si="149"/>
        <v>0</v>
      </c>
      <c r="AE314" s="1043">
        <f t="shared" si="146"/>
        <v>0</v>
      </c>
      <c r="AF314" s="1043">
        <f t="shared" si="147"/>
        <v>0</v>
      </c>
      <c r="AG314" s="1043">
        <f t="shared" si="148"/>
        <v>0</v>
      </c>
      <c r="AH314" s="1280">
        <f t="shared" si="144"/>
        <v>0</v>
      </c>
      <c r="AI314" s="1043">
        <f t="shared" si="14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6"/>
        <v>0</v>
      </c>
      <c r="N315" s="302">
        <f t="shared" si="137"/>
        <v>0</v>
      </c>
      <c r="O315" s="360">
        <v>0</v>
      </c>
      <c r="P315" s="361">
        <v>0</v>
      </c>
      <c r="Q315" s="361">
        <v>0</v>
      </c>
      <c r="R315" s="361">
        <v>0</v>
      </c>
      <c r="S315" s="361">
        <v>0</v>
      </c>
      <c r="T315" s="361">
        <v>0</v>
      </c>
      <c r="U315" s="361">
        <v>0</v>
      </c>
      <c r="V315" s="361">
        <v>0</v>
      </c>
      <c r="W315" s="361">
        <v>0</v>
      </c>
      <c r="X315" s="361">
        <v>0</v>
      </c>
      <c r="Y315" s="397">
        <v>0</v>
      </c>
      <c r="Z315" s="300">
        <f t="shared" si="138"/>
        <v>0</v>
      </c>
      <c r="AA315" s="302">
        <f t="shared" si="139"/>
        <v>0</v>
      </c>
      <c r="AB315" s="1054">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1055">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334">
        <f t="shared" si="149"/>
        <v>0</v>
      </c>
      <c r="AE315" s="1043">
        <f t="shared" si="146"/>
        <v>0</v>
      </c>
      <c r="AF315" s="1043">
        <f t="shared" si="147"/>
        <v>0</v>
      </c>
      <c r="AG315" s="1043">
        <f t="shared" si="148"/>
        <v>0</v>
      </c>
      <c r="AH315" s="1280">
        <f t="shared" si="144"/>
        <v>0</v>
      </c>
      <c r="AI315" s="1043">
        <f t="shared" si="145"/>
        <v>0</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6"/>
        <v>0</v>
      </c>
      <c r="N316" s="316">
        <f t="shared" si="137"/>
        <v>0</v>
      </c>
      <c r="O316" s="362">
        <v>0</v>
      </c>
      <c r="P316" s="363">
        <v>0</v>
      </c>
      <c r="Q316" s="363">
        <v>0</v>
      </c>
      <c r="R316" s="363">
        <v>0</v>
      </c>
      <c r="S316" s="363">
        <v>0</v>
      </c>
      <c r="T316" s="363">
        <v>0</v>
      </c>
      <c r="U316" s="363">
        <v>0</v>
      </c>
      <c r="V316" s="363">
        <v>0</v>
      </c>
      <c r="W316" s="363">
        <v>0</v>
      </c>
      <c r="X316" s="363">
        <v>9.6227587148205782E-8</v>
      </c>
      <c r="Y316" s="398">
        <v>9.2679367532900824E-7</v>
      </c>
      <c r="Z316" s="314">
        <f t="shared" si="138"/>
        <v>5.0405326134530919E-8</v>
      </c>
      <c r="AA316" s="316">
        <f t="shared" si="139"/>
        <v>2.6030768135797323E-8</v>
      </c>
      <c r="AB316" s="1054">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1055">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334">
        <f t="shared" si="149"/>
        <v>0</v>
      </c>
      <c r="AE316" s="1043">
        <f t="shared" si="146"/>
        <v>0</v>
      </c>
      <c r="AF316" s="1043">
        <f t="shared" si="147"/>
        <v>5.0405326134530919E-8</v>
      </c>
      <c r="AG316" s="1043">
        <f t="shared" si="148"/>
        <v>5.0405326134530919E-8</v>
      </c>
      <c r="AH316" s="1280">
        <f t="shared" si="144"/>
        <v>0</v>
      </c>
      <c r="AI316" s="1043">
        <f t="shared" si="145"/>
        <v>1</v>
      </c>
    </row>
    <row r="317" spans="1:35" x14ac:dyDescent="0.2">
      <c r="A317" s="348">
        <v>2038</v>
      </c>
      <c r="B317" s="362">
        <v>0</v>
      </c>
      <c r="C317" s="363">
        <v>0</v>
      </c>
      <c r="D317" s="363">
        <v>0</v>
      </c>
      <c r="E317" s="363">
        <v>0</v>
      </c>
      <c r="F317" s="363">
        <v>0</v>
      </c>
      <c r="G317" s="363">
        <v>0</v>
      </c>
      <c r="H317" s="363">
        <v>0</v>
      </c>
      <c r="I317" s="363">
        <v>0</v>
      </c>
      <c r="J317" s="363">
        <v>0</v>
      </c>
      <c r="K317" s="363">
        <v>0</v>
      </c>
      <c r="L317" s="398">
        <v>2.411239594254272E-4</v>
      </c>
      <c r="M317" s="314">
        <f t="shared" si="136"/>
        <v>3.8465157246560874E-6</v>
      </c>
      <c r="N317" s="316">
        <f t="shared" si="137"/>
        <v>1.8123443683301518E-6</v>
      </c>
      <c r="O317" s="362">
        <v>0</v>
      </c>
      <c r="P317" s="363">
        <v>0</v>
      </c>
      <c r="Q317" s="363">
        <v>0</v>
      </c>
      <c r="R317" s="363">
        <v>0</v>
      </c>
      <c r="S317" s="363">
        <v>6.3908916948475054E-7</v>
      </c>
      <c r="T317" s="363">
        <v>4.7067662236551007E-6</v>
      </c>
      <c r="U317" s="363">
        <v>1.2059678045333458E-5</v>
      </c>
      <c r="V317" s="363">
        <v>2.4636206991591337E-5</v>
      </c>
      <c r="W317" s="363">
        <v>3.8485868373896771E-5</v>
      </c>
      <c r="X317" s="363">
        <v>5.2266499813497743E-5</v>
      </c>
      <c r="Y317" s="398">
        <v>7.2896554355289078E-5</v>
      </c>
      <c r="Z317" s="314">
        <f t="shared" si="138"/>
        <v>1.279895633232924E-5</v>
      </c>
      <c r="AA317" s="316">
        <f t="shared" si="139"/>
        <v>9.078436656438338E-6</v>
      </c>
      <c r="AB317" s="1054">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1055">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334">
        <f t="shared" si="149"/>
        <v>0</v>
      </c>
      <c r="AE317" s="1043">
        <f t="shared" si="146"/>
        <v>3.8465157246560874E-6</v>
      </c>
      <c r="AF317" s="1043">
        <f t="shared" si="147"/>
        <v>1.279895633232924E-5</v>
      </c>
      <c r="AG317" s="1043">
        <f t="shared" si="148"/>
        <v>1.6645472056985326E-5</v>
      </c>
      <c r="AH317" s="1280">
        <f t="shared" si="144"/>
        <v>0.23108480861868286</v>
      </c>
      <c r="AI317" s="1043">
        <f t="shared" si="145"/>
        <v>0.76891519138131725</v>
      </c>
    </row>
    <row r="318" spans="1:35" x14ac:dyDescent="0.2">
      <c r="A318" s="348">
        <v>2039</v>
      </c>
      <c r="B318" s="362">
        <v>0</v>
      </c>
      <c r="C318" s="363">
        <v>0</v>
      </c>
      <c r="D318" s="363">
        <v>0</v>
      </c>
      <c r="E318" s="363">
        <v>0</v>
      </c>
      <c r="F318" s="363">
        <v>3.3322684768368784E-4</v>
      </c>
      <c r="G318" s="363">
        <v>4.8732544833301715E-3</v>
      </c>
      <c r="H318" s="363">
        <v>1.5571165142726625E-2</v>
      </c>
      <c r="I318" s="363">
        <v>3.7510322975780039E-2</v>
      </c>
      <c r="J318" s="363">
        <v>6.4921405029073259E-2</v>
      </c>
      <c r="K318" s="363">
        <v>9.5809678184036337E-2</v>
      </c>
      <c r="L318" s="398">
        <v>0.14568755281346069</v>
      </c>
      <c r="M318" s="314">
        <f t="shared" si="136"/>
        <v>6.2203126104323249E-3</v>
      </c>
      <c r="N318" s="316">
        <f t="shared" si="137"/>
        <v>4.1133699913718392E-3</v>
      </c>
      <c r="O318" s="362">
        <v>0</v>
      </c>
      <c r="P318" s="363">
        <v>0</v>
      </c>
      <c r="Q318" s="363">
        <v>6.2353166274557261E-7</v>
      </c>
      <c r="R318" s="363">
        <v>1.5148216119208568E-5</v>
      </c>
      <c r="S318" s="363">
        <v>5.8997293923608452E-5</v>
      </c>
      <c r="T318" s="363">
        <v>1.065121081026815E-4</v>
      </c>
      <c r="U318" s="363">
        <v>1.4893940420476033E-4</v>
      </c>
      <c r="V318" s="363">
        <v>1.8728413948952509E-4</v>
      </c>
      <c r="W318" s="363">
        <v>2.0699860249116404E-4</v>
      </c>
      <c r="X318" s="363">
        <v>2.3486880635592957E-4</v>
      </c>
      <c r="Y318" s="398">
        <v>2.5888794228926215E-4</v>
      </c>
      <c r="Z318" s="314">
        <f t="shared" si="138"/>
        <v>1.0564903706172156E-4</v>
      </c>
      <c r="AA318" s="316">
        <f t="shared" si="139"/>
        <v>8.8020820397224101E-5</v>
      </c>
      <c r="AB318" s="1054">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1055">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334">
        <f t="shared" si="149"/>
        <v>0</v>
      </c>
      <c r="AE318" s="1043">
        <f t="shared" si="146"/>
        <v>6.2203126104323249E-3</v>
      </c>
      <c r="AF318" s="1043">
        <f t="shared" si="147"/>
        <v>1.0564903706172156E-4</v>
      </c>
      <c r="AG318" s="1043">
        <f t="shared" si="148"/>
        <v>6.3259616474940468E-3</v>
      </c>
      <c r="AH318" s="1280">
        <f t="shared" si="144"/>
        <v>0.98329913411606384</v>
      </c>
      <c r="AI318" s="1043">
        <f t="shared" si="145"/>
        <v>1.6700865883936104E-2</v>
      </c>
    </row>
    <row r="319" spans="1:35" ht="13.5" thickBot="1" x14ac:dyDescent="0.25">
      <c r="A319" s="346">
        <v>2040</v>
      </c>
      <c r="B319" s="364">
        <v>0</v>
      </c>
      <c r="C319" s="365">
        <v>0</v>
      </c>
      <c r="D319" s="365">
        <v>0</v>
      </c>
      <c r="E319" s="365">
        <v>7.2245098295562254E-3</v>
      </c>
      <c r="F319" s="365">
        <v>3.7416635401778822E-2</v>
      </c>
      <c r="G319" s="365">
        <v>8.0790303268688801E-2</v>
      </c>
      <c r="H319" s="365">
        <v>0.10702754192311857</v>
      </c>
      <c r="I319" s="365">
        <v>0.14380126178460578</v>
      </c>
      <c r="J319" s="365">
        <v>0.17320151985244983</v>
      </c>
      <c r="K319" s="365">
        <v>0.18700678390638617</v>
      </c>
      <c r="L319" s="399">
        <v>0.20777001026784583</v>
      </c>
      <c r="M319" s="328">
        <f t="shared" si="136"/>
        <v>2.2977675880816402E-2</v>
      </c>
      <c r="N319" s="330">
        <f t="shared" si="137"/>
        <v>1.8685994667740728E-2</v>
      </c>
      <c r="O319" s="364">
        <v>0</v>
      </c>
      <c r="P319" s="365">
        <v>0</v>
      </c>
      <c r="Q319" s="365">
        <v>3.8911173486407126E-5</v>
      </c>
      <c r="R319" s="365">
        <v>1.5976824607428675E-4</v>
      </c>
      <c r="S319" s="365">
        <v>3.0247367531110119E-4</v>
      </c>
      <c r="T319" s="365">
        <v>3.9936237463237645E-4</v>
      </c>
      <c r="U319" s="365">
        <v>4.5780221203845222E-4</v>
      </c>
      <c r="V319" s="365">
        <v>5.127436191806864E-4</v>
      </c>
      <c r="W319" s="365">
        <v>5.4630804751299236E-4</v>
      </c>
      <c r="X319" s="365">
        <v>5.691692503734673E-4</v>
      </c>
      <c r="Y319" s="399">
        <v>5.789371396930815E-4</v>
      </c>
      <c r="Z319" s="328">
        <f t="shared" si="138"/>
        <v>3.2744047492875867E-4</v>
      </c>
      <c r="AA319" s="330">
        <f t="shared" si="139"/>
        <v>2.8865077030064564E-4</v>
      </c>
      <c r="AB319" s="1054">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1055">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334">
        <f t="shared" si="149"/>
        <v>0</v>
      </c>
      <c r="AE319" s="1043">
        <f t="shared" si="146"/>
        <v>2.2977675880816402E-2</v>
      </c>
      <c r="AF319" s="1043">
        <f t="shared" si="147"/>
        <v>3.2744047492875867E-4</v>
      </c>
      <c r="AG319" s="1043">
        <f t="shared" si="148"/>
        <v>2.330511635574516E-2</v>
      </c>
      <c r="AH319" s="1280">
        <f t="shared" si="144"/>
        <v>0.98594984595097135</v>
      </c>
      <c r="AI319" s="1043">
        <f t="shared" si="145"/>
        <v>1.4050154049028736E-2</v>
      </c>
    </row>
    <row r="320" spans="1:35" x14ac:dyDescent="0.2">
      <c r="A320" s="347">
        <v>2041</v>
      </c>
      <c r="B320" s="360">
        <v>0</v>
      </c>
      <c r="C320" s="361">
        <v>0</v>
      </c>
      <c r="D320" s="361">
        <v>5.4085107553890673E-3</v>
      </c>
      <c r="E320" s="361">
        <v>5.3343904628597907E-2</v>
      </c>
      <c r="F320" s="361">
        <v>0.10752941573258533</v>
      </c>
      <c r="G320" s="361">
        <v>0.14860218792708033</v>
      </c>
      <c r="H320" s="361">
        <v>0.17856620379462493</v>
      </c>
      <c r="I320" s="361">
        <v>0.19865082302022716</v>
      </c>
      <c r="J320" s="361">
        <v>0.21562742396376125</v>
      </c>
      <c r="K320" s="361">
        <v>0.21889438399344349</v>
      </c>
      <c r="L320" s="397">
        <v>0.22344210433456915</v>
      </c>
      <c r="M320" s="300">
        <f t="shared" si="136"/>
        <v>3.6370158685918502E-2</v>
      </c>
      <c r="N320" s="302">
        <f t="shared" si="137"/>
        <v>3.1970612139349736E-2</v>
      </c>
      <c r="O320" s="360">
        <v>0</v>
      </c>
      <c r="P320" s="361">
        <v>0</v>
      </c>
      <c r="Q320" s="361">
        <v>2.5475576702923397E-4</v>
      </c>
      <c r="R320" s="361">
        <v>5.9178659872550967E-4</v>
      </c>
      <c r="S320" s="361">
        <v>8.4179630667709411E-4</v>
      </c>
      <c r="T320" s="361">
        <v>9.8307947115289489E-4</v>
      </c>
      <c r="U320" s="361">
        <v>1.0411984066547881E-3</v>
      </c>
      <c r="V320" s="361">
        <v>1.0877979557564522E-3</v>
      </c>
      <c r="W320" s="361">
        <v>1.1292017394544539E-3</v>
      </c>
      <c r="X320" s="361">
        <v>1.1190878219838195E-3</v>
      </c>
      <c r="Y320" s="397">
        <v>1.1174850260868029E-3</v>
      </c>
      <c r="Z320" s="300">
        <f t="shared" si="138"/>
        <v>7.5436240267692215E-4</v>
      </c>
      <c r="AA320" s="302">
        <f t="shared" si="139"/>
        <v>6.8687464042814538E-4</v>
      </c>
      <c r="AB320" s="1054">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1055">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334">
        <f t="shared" si="149"/>
        <v>0</v>
      </c>
      <c r="AE320" s="1043">
        <f t="shared" si="146"/>
        <v>3.6370158685918502E-2</v>
      </c>
      <c r="AF320" s="1043">
        <f t="shared" si="147"/>
        <v>7.5436240267692215E-4</v>
      </c>
      <c r="AG320" s="1043">
        <f t="shared" si="148"/>
        <v>3.7124521088595423E-2</v>
      </c>
      <c r="AH320" s="1280">
        <f t="shared" si="144"/>
        <v>0.97968021187730125</v>
      </c>
      <c r="AI320" s="1043">
        <f t="shared" si="145"/>
        <v>2.0319788122698794E-2</v>
      </c>
    </row>
    <row r="321" spans="1:35" x14ac:dyDescent="0.2">
      <c r="A321" s="348">
        <v>2042</v>
      </c>
      <c r="B321" s="362">
        <v>0</v>
      </c>
      <c r="C321" s="363">
        <v>0</v>
      </c>
      <c r="D321" s="363">
        <v>3.6283180646532583E-2</v>
      </c>
      <c r="E321" s="363">
        <v>0.12068135592315005</v>
      </c>
      <c r="F321" s="363">
        <v>0.17394826024718998</v>
      </c>
      <c r="G321" s="363">
        <v>0.19711621516127117</v>
      </c>
      <c r="H321" s="363">
        <v>0.21553378800103246</v>
      </c>
      <c r="I321" s="363">
        <v>0.22354362511412815</v>
      </c>
      <c r="J321" s="363">
        <v>0.22813139340485647</v>
      </c>
      <c r="K321" s="363">
        <v>0.23205808106201217</v>
      </c>
      <c r="L321" s="398">
        <v>0.2273790738401833</v>
      </c>
      <c r="M321" s="314">
        <f t="shared" si="136"/>
        <v>4.5359689058986831E-2</v>
      </c>
      <c r="N321" s="316">
        <f t="shared" si="137"/>
        <v>4.1919323589633704E-2</v>
      </c>
      <c r="O321" s="362">
        <v>0</v>
      </c>
      <c r="P321" s="363">
        <v>1.5932751332055815E-5</v>
      </c>
      <c r="Q321" s="363">
        <v>9.4501189428285517E-4</v>
      </c>
      <c r="R321" s="363">
        <v>1.5807795283805854E-3</v>
      </c>
      <c r="S321" s="363">
        <v>1.8507323598990146E-3</v>
      </c>
      <c r="T321" s="363">
        <v>1.9873377197983052E-3</v>
      </c>
      <c r="U321" s="363">
        <v>2.0509543158229045E-3</v>
      </c>
      <c r="V321" s="363">
        <v>2.0764245519345019E-3</v>
      </c>
      <c r="W321" s="363">
        <v>2.0586471698341904E-3</v>
      </c>
      <c r="X321" s="363">
        <v>2.0214581220954261E-3</v>
      </c>
      <c r="Y321" s="398">
        <v>1.9550296547394368E-3</v>
      </c>
      <c r="Z321" s="314">
        <f t="shared" si="138"/>
        <v>1.5017109020911579E-3</v>
      </c>
      <c r="AA321" s="316">
        <f t="shared" si="139"/>
        <v>1.3997457392714914E-3</v>
      </c>
      <c r="AB321" s="1054">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1055">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334">
        <f t="shared" si="149"/>
        <v>0</v>
      </c>
      <c r="AE321" s="1043">
        <f t="shared" si="146"/>
        <v>4.5359689058986831E-2</v>
      </c>
      <c r="AF321" s="1043">
        <f t="shared" si="147"/>
        <v>1.5017109020911579E-3</v>
      </c>
      <c r="AG321" s="1043">
        <f t="shared" si="148"/>
        <v>4.6861399961077986E-2</v>
      </c>
      <c r="AH321" s="1280">
        <f t="shared" si="144"/>
        <v>0.96795420317492775</v>
      </c>
      <c r="AI321" s="1043">
        <f t="shared" si="145"/>
        <v>3.2045796825072338E-2</v>
      </c>
    </row>
    <row r="322" spans="1:35" x14ac:dyDescent="0.2">
      <c r="A322" s="348">
        <v>2043</v>
      </c>
      <c r="B322" s="362">
        <v>0</v>
      </c>
      <c r="C322" s="363">
        <v>4.6345338936870986E-4</v>
      </c>
      <c r="D322" s="363">
        <v>7.872519459345674E-2</v>
      </c>
      <c r="E322" s="363">
        <v>0.16321111717223255</v>
      </c>
      <c r="F322" s="363">
        <v>0.20649984742552277</v>
      </c>
      <c r="G322" s="363">
        <v>0.21670712754255067</v>
      </c>
      <c r="H322" s="363">
        <v>0.22967314382312745</v>
      </c>
      <c r="I322" s="363">
        <v>0.23224957908818472</v>
      </c>
      <c r="J322" s="363">
        <v>0.22959082812905177</v>
      </c>
      <c r="K322" s="363">
        <v>0.2284249382627884</v>
      </c>
      <c r="L322" s="398">
        <v>0.22306043000226167</v>
      </c>
      <c r="M322" s="314">
        <f t="shared" si="136"/>
        <v>4.9318288860981045E-2</v>
      </c>
      <c r="N322" s="316">
        <f t="shared" si="137"/>
        <v>4.6745206728882743E-2</v>
      </c>
      <c r="O322" s="362">
        <v>0</v>
      </c>
      <c r="P322" s="363">
        <v>1.2032577008911498E-4</v>
      </c>
      <c r="Q322" s="363">
        <v>2.1969592402733746E-3</v>
      </c>
      <c r="R322" s="363">
        <v>3.1722129242808456E-3</v>
      </c>
      <c r="S322" s="363">
        <v>3.3946043226290752E-3</v>
      </c>
      <c r="T322" s="363">
        <v>3.5304543965771693E-3</v>
      </c>
      <c r="U322" s="363">
        <v>3.569411116262868E-3</v>
      </c>
      <c r="V322" s="363">
        <v>3.4951188686032073E-3</v>
      </c>
      <c r="W322" s="363">
        <v>3.4565438052999936E-3</v>
      </c>
      <c r="X322" s="363">
        <v>3.3823784984112985E-3</v>
      </c>
      <c r="Y322" s="398">
        <v>3.2891766358059205E-3</v>
      </c>
      <c r="Z322" s="314">
        <f t="shared" si="138"/>
        <v>2.6380583075443975E-3</v>
      </c>
      <c r="AA322" s="316">
        <f t="shared" si="139"/>
        <v>2.4911104508981876E-3</v>
      </c>
      <c r="AB322" s="1054">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1055">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334">
        <f t="shared" si="149"/>
        <v>0</v>
      </c>
      <c r="AE322" s="1043">
        <f t="shared" si="146"/>
        <v>4.9318288860981045E-2</v>
      </c>
      <c r="AF322" s="1043">
        <f t="shared" si="147"/>
        <v>2.6380583075443975E-3</v>
      </c>
      <c r="AG322" s="1043">
        <f t="shared" si="148"/>
        <v>5.1956347168525444E-2</v>
      </c>
      <c r="AH322" s="1280">
        <f t="shared" si="144"/>
        <v>0.94922548540628537</v>
      </c>
      <c r="AI322" s="1043">
        <f t="shared" si="145"/>
        <v>5.0774514593714605E-2</v>
      </c>
    </row>
    <row r="323" spans="1:35" x14ac:dyDescent="0.2">
      <c r="A323" s="348">
        <v>2044</v>
      </c>
      <c r="B323" s="362">
        <v>0</v>
      </c>
      <c r="C323" s="363">
        <v>3.3875805764979781E-3</v>
      </c>
      <c r="D323" s="363">
        <v>0.12537255491398189</v>
      </c>
      <c r="E323" s="363">
        <v>0.19538033454098741</v>
      </c>
      <c r="F323" s="363">
        <v>0.22433360151822188</v>
      </c>
      <c r="G323" s="363">
        <v>0.23029458885049447</v>
      </c>
      <c r="H323" s="363">
        <v>0.22780012519022677</v>
      </c>
      <c r="I323" s="363">
        <v>0.22900706431713461</v>
      </c>
      <c r="J323" s="363">
        <v>0.228676961449262</v>
      </c>
      <c r="K323" s="363">
        <v>0.2269426460258826</v>
      </c>
      <c r="L323" s="398">
        <v>0.21901917252179684</v>
      </c>
      <c r="M323" s="314">
        <f t="shared" si="136"/>
        <v>5.0799179626303398E-2</v>
      </c>
      <c r="N323" s="316">
        <f t="shared" si="137"/>
        <v>4.908566792716889E-2</v>
      </c>
      <c r="O323" s="362">
        <v>0</v>
      </c>
      <c r="P323" s="363">
        <v>4.4971211793405933E-4</v>
      </c>
      <c r="Q323" s="363">
        <v>3.65045396695352E-3</v>
      </c>
      <c r="R323" s="363">
        <v>4.349716626943302E-3</v>
      </c>
      <c r="S323" s="363">
        <v>4.5049754006669393E-3</v>
      </c>
      <c r="T323" s="363">
        <v>4.6430104769627639E-3</v>
      </c>
      <c r="U323" s="363">
        <v>4.50157988021969E-3</v>
      </c>
      <c r="V323" s="363">
        <v>4.3948356351406663E-3</v>
      </c>
      <c r="W323" s="363">
        <v>4.3480654021632306E-3</v>
      </c>
      <c r="X323" s="363">
        <v>4.2286132370493099E-3</v>
      </c>
      <c r="Y323" s="398">
        <v>4.1557783021489471E-3</v>
      </c>
      <c r="Z323" s="314">
        <f t="shared" si="138"/>
        <v>3.4028629866183551E-3</v>
      </c>
      <c r="AA323" s="316">
        <f t="shared" si="139"/>
        <v>3.2483469624505338E-3</v>
      </c>
      <c r="AB323" s="1054">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1055">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334">
        <f t="shared" si="149"/>
        <v>0</v>
      </c>
      <c r="AE323" s="1043">
        <f t="shared" si="146"/>
        <v>5.0799179626303398E-2</v>
      </c>
      <c r="AF323" s="1043">
        <f t="shared" si="147"/>
        <v>3.4028629866183551E-3</v>
      </c>
      <c r="AG323" s="1043">
        <f t="shared" si="148"/>
        <v>5.4202042612921754E-2</v>
      </c>
      <c r="AH323" s="1280">
        <f t="shared" si="144"/>
        <v>0.93721891606706509</v>
      </c>
      <c r="AI323" s="1043">
        <f t="shared" si="145"/>
        <v>6.2781083932934911E-2</v>
      </c>
    </row>
    <row r="324" spans="1:35" ht="13.5" thickBot="1" x14ac:dyDescent="0.25">
      <c r="A324" s="346">
        <v>2045</v>
      </c>
      <c r="B324" s="364">
        <v>0</v>
      </c>
      <c r="C324" s="365">
        <v>1.5647800206921539E-2</v>
      </c>
      <c r="D324" s="365">
        <v>0.168454064707692</v>
      </c>
      <c r="E324" s="365">
        <v>0.21307550386965682</v>
      </c>
      <c r="F324" s="365">
        <v>0.22947818280203414</v>
      </c>
      <c r="G324" s="365">
        <v>0.23370524758071032</v>
      </c>
      <c r="H324" s="365">
        <v>0.2292949267758182</v>
      </c>
      <c r="I324" s="365">
        <v>0.22863486885369586</v>
      </c>
      <c r="J324" s="365">
        <v>0.22531138767824829</v>
      </c>
      <c r="K324" s="365">
        <v>0.22277250084415265</v>
      </c>
      <c r="L324" s="399">
        <v>0.21697060790266648</v>
      </c>
      <c r="M324" s="328">
        <f t="shared" si="136"/>
        <v>5.161465467373394E-2</v>
      </c>
      <c r="N324" s="330">
        <f t="shared" si="137"/>
        <v>5.0447431131313551E-2</v>
      </c>
      <c r="O324" s="364">
        <v>0</v>
      </c>
      <c r="P324" s="365">
        <v>1.5842289797531404E-3</v>
      </c>
      <c r="Q324" s="365">
        <v>6.7853977171163397E-3</v>
      </c>
      <c r="R324" s="365">
        <v>7.2222276371173393E-3</v>
      </c>
      <c r="S324" s="365">
        <v>7.3277710746764866E-3</v>
      </c>
      <c r="T324" s="365">
        <v>7.2268096517888406E-3</v>
      </c>
      <c r="U324" s="365">
        <v>7.0905214810087569E-3</v>
      </c>
      <c r="V324" s="365">
        <v>6.9414889048734409E-3</v>
      </c>
      <c r="W324" s="365">
        <v>6.8356734091907E-3</v>
      </c>
      <c r="X324" s="365">
        <v>6.672088030783993E-3</v>
      </c>
      <c r="Y324" s="399">
        <v>6.5406201642174092E-3</v>
      </c>
      <c r="Z324" s="328">
        <f t="shared" si="138"/>
        <v>5.3963125207243555E-3</v>
      </c>
      <c r="AA324" s="330">
        <f t="shared" si="139"/>
        <v>5.1947173612217857E-3</v>
      </c>
      <c r="AB324" s="1054">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1055">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334">
        <f t="shared" si="149"/>
        <v>0</v>
      </c>
      <c r="AE324" s="1043">
        <f t="shared" si="146"/>
        <v>5.161465467373394E-2</v>
      </c>
      <c r="AF324" s="1043">
        <f t="shared" si="147"/>
        <v>5.3963125207243555E-3</v>
      </c>
      <c r="AG324" s="1043">
        <f t="shared" si="148"/>
        <v>5.7010967194458292E-2</v>
      </c>
      <c r="AH324" s="1280">
        <f t="shared" si="144"/>
        <v>0.90534606258620187</v>
      </c>
      <c r="AI324" s="1043">
        <f t="shared" si="145"/>
        <v>9.465393741379817E-2</v>
      </c>
    </row>
    <row r="325" spans="1:35" x14ac:dyDescent="0.2">
      <c r="A325" s="347">
        <v>2046</v>
      </c>
      <c r="B325" s="360">
        <v>0</v>
      </c>
      <c r="C325" s="361">
        <v>2.2467214055642622E-2</v>
      </c>
      <c r="D325" s="361">
        <v>0.1708080858437894</v>
      </c>
      <c r="E325" s="361">
        <v>0.21392924422293436</v>
      </c>
      <c r="F325" s="361">
        <v>0.23016901376192822</v>
      </c>
      <c r="G325" s="361">
        <v>0.22829185897554882</v>
      </c>
      <c r="H325" s="361">
        <v>0.22858894419328621</v>
      </c>
      <c r="I325" s="361">
        <v>0.22583192191399148</v>
      </c>
      <c r="J325" s="361">
        <v>0.2225328652295617</v>
      </c>
      <c r="K325" s="361">
        <v>0.22004774433195085</v>
      </c>
      <c r="L325" s="397">
        <v>0.21502284756615186</v>
      </c>
      <c r="M325" s="300">
        <f t="shared" si="136"/>
        <v>5.1300091913033204E-2</v>
      </c>
      <c r="N325" s="302">
        <f t="shared" si="137"/>
        <v>5.0242016901806616E-2</v>
      </c>
      <c r="O325" s="360">
        <v>0</v>
      </c>
      <c r="P325" s="361">
        <v>3.0067765119750987E-3</v>
      </c>
      <c r="Q325" s="361">
        <v>1.0745069458587416E-2</v>
      </c>
      <c r="R325" s="361">
        <v>1.1217786018951301E-2</v>
      </c>
      <c r="S325" s="361">
        <v>1.1192105101811725E-2</v>
      </c>
      <c r="T325" s="361">
        <v>1.1018330655108629E-2</v>
      </c>
      <c r="U325" s="361">
        <v>1.0929058132742666E-2</v>
      </c>
      <c r="V325" s="361">
        <v>1.065675087283665E-2</v>
      </c>
      <c r="W325" s="361">
        <v>1.0446626540239085E-2</v>
      </c>
      <c r="X325" s="361">
        <v>1.0250638038216811E-2</v>
      </c>
      <c r="Y325" s="397">
        <v>1.0053410655321973E-2</v>
      </c>
      <c r="Z325" s="300">
        <f t="shared" si="138"/>
        <v>8.2878330079364255E-3</v>
      </c>
      <c r="AA325" s="302">
        <f t="shared" si="139"/>
        <v>7.9934155873711867E-3</v>
      </c>
      <c r="AB325" s="1054">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1055">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334">
        <f t="shared" si="149"/>
        <v>0</v>
      </c>
      <c r="AE325" s="1043">
        <f t="shared" si="146"/>
        <v>5.1300091913033204E-2</v>
      </c>
      <c r="AF325" s="1043">
        <f t="shared" si="147"/>
        <v>8.2878330079364255E-3</v>
      </c>
      <c r="AG325" s="1043">
        <f t="shared" si="148"/>
        <v>5.9587924920969627E-2</v>
      </c>
      <c r="AH325" s="1280">
        <f t="shared" si="144"/>
        <v>0.86091422013892205</v>
      </c>
      <c r="AI325" s="1043">
        <f t="shared" si="145"/>
        <v>0.13908577986107801</v>
      </c>
    </row>
    <row r="326" spans="1:35" x14ac:dyDescent="0.2">
      <c r="A326" s="348">
        <v>2047</v>
      </c>
      <c r="B326" s="362">
        <v>0</v>
      </c>
      <c r="C326" s="363">
        <v>3.0135915579355438E-2</v>
      </c>
      <c r="D326" s="363">
        <v>0.18576715208578437</v>
      </c>
      <c r="E326" s="363">
        <v>0.21819495566440447</v>
      </c>
      <c r="F326" s="363">
        <v>0.23256288332490452</v>
      </c>
      <c r="G326" s="363">
        <v>0.22945715826662055</v>
      </c>
      <c r="H326" s="363">
        <v>0.22570918360025402</v>
      </c>
      <c r="I326" s="363">
        <v>0.22511625826934534</v>
      </c>
      <c r="J326" s="363">
        <v>0.22117155180304859</v>
      </c>
      <c r="K326" s="363">
        <v>0.21876155468072259</v>
      </c>
      <c r="L326" s="398">
        <v>0.21388026091509599</v>
      </c>
      <c r="M326" s="314">
        <f t="shared" si="136"/>
        <v>5.1283883828366773E-2</v>
      </c>
      <c r="N326" s="316">
        <f t="shared" si="137"/>
        <v>5.044633659615886E-2</v>
      </c>
      <c r="O326" s="362">
        <v>0</v>
      </c>
      <c r="P326" s="363">
        <v>5.249285269235281E-3</v>
      </c>
      <c r="Q326" s="363">
        <v>1.6476058451702028E-2</v>
      </c>
      <c r="R326" s="363">
        <v>1.6961751801492647E-2</v>
      </c>
      <c r="S326" s="363">
        <v>1.6773814406285694E-2</v>
      </c>
      <c r="T326" s="363">
        <v>1.6550106725620916E-2</v>
      </c>
      <c r="U326" s="363">
        <v>1.6026757972434927E-2</v>
      </c>
      <c r="V326" s="363">
        <v>1.5635410599640041E-2</v>
      </c>
      <c r="W326" s="363">
        <v>1.54586560306292E-2</v>
      </c>
      <c r="X326" s="363">
        <v>1.5174039807580515E-2</v>
      </c>
      <c r="Y326" s="398">
        <v>1.4891153809686327E-2</v>
      </c>
      <c r="Z326" s="314">
        <f t="shared" si="138"/>
        <v>1.2304547152667017E-2</v>
      </c>
      <c r="AA326" s="316">
        <f t="shared" si="139"/>
        <v>1.1910314377592572E-2</v>
      </c>
      <c r="AB326" s="1054">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1055">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334">
        <f t="shared" si="149"/>
        <v>0</v>
      </c>
      <c r="AE326" s="1043">
        <f t="shared" si="146"/>
        <v>5.1283883828366773E-2</v>
      </c>
      <c r="AF326" s="1043">
        <f t="shared" si="147"/>
        <v>1.2304547152667017E-2</v>
      </c>
      <c r="AG326" s="1043">
        <f t="shared" si="148"/>
        <v>6.3588430981033783E-2</v>
      </c>
      <c r="AH326" s="1280">
        <f t="shared" si="144"/>
        <v>0.80649707874790888</v>
      </c>
      <c r="AI326" s="1043">
        <f t="shared" si="145"/>
        <v>0.1935029212520912</v>
      </c>
    </row>
    <row r="327" spans="1:35" x14ac:dyDescent="0.2">
      <c r="A327" s="348">
        <v>2048</v>
      </c>
      <c r="B327" s="362">
        <v>0</v>
      </c>
      <c r="C327" s="363">
        <v>5.138115257154767E-2</v>
      </c>
      <c r="D327" s="363">
        <v>0.19996861045083664</v>
      </c>
      <c r="E327" s="363">
        <v>0.22176029521305912</v>
      </c>
      <c r="F327" s="363">
        <v>0.23419320492425094</v>
      </c>
      <c r="G327" s="363">
        <v>0.23147734505781861</v>
      </c>
      <c r="H327" s="363">
        <v>0.22710415416682059</v>
      </c>
      <c r="I327" s="363">
        <v>0.22373478253789456</v>
      </c>
      <c r="J327" s="363">
        <v>0.21985905942259834</v>
      </c>
      <c r="K327" s="363">
        <v>0.21805448847114681</v>
      </c>
      <c r="L327" s="398">
        <v>0.21278676852996897</v>
      </c>
      <c r="M327" s="314">
        <f t="shared" si="136"/>
        <v>5.157431286790929E-2</v>
      </c>
      <c r="N327" s="316">
        <f t="shared" si="137"/>
        <v>5.0961572997582562E-2</v>
      </c>
      <c r="O327" s="362">
        <v>0</v>
      </c>
      <c r="P327" s="363">
        <v>8.5668485228178447E-3</v>
      </c>
      <c r="Q327" s="363">
        <v>2.124669167339684E-2</v>
      </c>
      <c r="R327" s="363">
        <v>2.064046217151207E-2</v>
      </c>
      <c r="S327" s="363">
        <v>2.0421044700964987E-2</v>
      </c>
      <c r="T327" s="363">
        <v>2.0012262471731258E-2</v>
      </c>
      <c r="U327" s="363">
        <v>1.9308691202519976E-2</v>
      </c>
      <c r="V327" s="363">
        <v>1.8755146164356702E-2</v>
      </c>
      <c r="W327" s="363">
        <v>1.8488332501206697E-2</v>
      </c>
      <c r="X327" s="363">
        <v>1.8154672346856984E-2</v>
      </c>
      <c r="Y327" s="398">
        <v>1.7828428069456996E-2</v>
      </c>
      <c r="Z327" s="314">
        <f t="shared" si="138"/>
        <v>1.4870773033597639E-2</v>
      </c>
      <c r="AA327" s="316">
        <f t="shared" si="139"/>
        <v>1.4471771694259465E-2</v>
      </c>
      <c r="AB327" s="1054">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1055">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334">
        <f t="shared" si="149"/>
        <v>0</v>
      </c>
      <c r="AE327" s="1043">
        <f t="shared" si="146"/>
        <v>5.157431286790929E-2</v>
      </c>
      <c r="AF327" s="1043">
        <f t="shared" si="147"/>
        <v>1.4870773033597639E-2</v>
      </c>
      <c r="AG327" s="1043">
        <f t="shared" si="148"/>
        <v>6.6445085901506926E-2</v>
      </c>
      <c r="AH327" s="1280">
        <f t="shared" si="144"/>
        <v>0.77619453971899555</v>
      </c>
      <c r="AI327" s="1043">
        <f t="shared" si="145"/>
        <v>0.22380546028100448</v>
      </c>
    </row>
    <row r="328" spans="1:35" x14ac:dyDescent="0.2">
      <c r="A328" s="348">
        <v>2049</v>
      </c>
      <c r="B328" s="362">
        <v>0</v>
      </c>
      <c r="C328" s="363">
        <v>6.340125630911761E-2</v>
      </c>
      <c r="D328" s="363">
        <v>0.20704290648888665</v>
      </c>
      <c r="E328" s="363">
        <v>0.23191513888876678</v>
      </c>
      <c r="F328" s="363">
        <v>0.23676203817536187</v>
      </c>
      <c r="G328" s="363">
        <v>0.23283496517956934</v>
      </c>
      <c r="H328" s="363">
        <v>0.22781711633927879</v>
      </c>
      <c r="I328" s="363">
        <v>0.22376630256234245</v>
      </c>
      <c r="J328" s="363">
        <v>0.22050503372395419</v>
      </c>
      <c r="K328" s="363">
        <v>0.21681789864035333</v>
      </c>
      <c r="L328" s="398">
        <v>0.21285351625871249</v>
      </c>
      <c r="M328" s="314">
        <f t="shared" si="136"/>
        <v>5.1999459767464888E-2</v>
      </c>
      <c r="N328" s="316">
        <f t="shared" si="137"/>
        <v>5.1600456569098146E-2</v>
      </c>
      <c r="O328" s="362">
        <v>0</v>
      </c>
      <c r="P328" s="363">
        <v>1.4873128321314872E-2</v>
      </c>
      <c r="Q328" s="363">
        <v>3.0864621615776359E-2</v>
      </c>
      <c r="R328" s="363">
        <v>2.9926418666163846E-2</v>
      </c>
      <c r="S328" s="363">
        <v>2.9063488735034518E-2</v>
      </c>
      <c r="T328" s="363">
        <v>2.8061918362316064E-2</v>
      </c>
      <c r="U328" s="363">
        <v>2.7316026248934634E-2</v>
      </c>
      <c r="V328" s="363">
        <v>2.6542366623945407E-2</v>
      </c>
      <c r="W328" s="363">
        <v>2.6167244721129603E-2</v>
      </c>
      <c r="X328" s="363">
        <v>2.55138907682874E-2</v>
      </c>
      <c r="Y328" s="398">
        <v>2.5238920955669888E-2</v>
      </c>
      <c r="Z328" s="314">
        <f t="shared" si="138"/>
        <v>2.1055490183412916E-2</v>
      </c>
      <c r="AA328" s="316">
        <f t="shared" si="139"/>
        <v>2.0571176572678714E-2</v>
      </c>
      <c r="AB328" s="1054">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1055">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334">
        <f t="shared" si="149"/>
        <v>0</v>
      </c>
      <c r="AE328" s="1043">
        <f t="shared" si="146"/>
        <v>5.1999459767464888E-2</v>
      </c>
      <c r="AF328" s="1043">
        <f t="shared" si="147"/>
        <v>2.1055490183412916E-2</v>
      </c>
      <c r="AG328" s="1043">
        <f t="shared" si="148"/>
        <v>7.3054949950877801E-2</v>
      </c>
      <c r="AH328" s="1280">
        <f t="shared" si="144"/>
        <v>0.71178557787568619</v>
      </c>
      <c r="AI328" s="1043">
        <f t="shared" si="145"/>
        <v>0.28821442212431386</v>
      </c>
    </row>
    <row r="329" spans="1:35" ht="13.5" thickBot="1" x14ac:dyDescent="0.25">
      <c r="A329" s="346">
        <v>2050</v>
      </c>
      <c r="B329" s="364">
        <v>0</v>
      </c>
      <c r="C329" s="365">
        <v>8.4685549794437889E-2</v>
      </c>
      <c r="D329" s="365">
        <v>0.22118310365797944</v>
      </c>
      <c r="E329" s="365">
        <v>0.23727691049926394</v>
      </c>
      <c r="F329" s="365">
        <v>0.23685305196167294</v>
      </c>
      <c r="G329" s="365">
        <v>0.23131178714193176</v>
      </c>
      <c r="H329" s="365">
        <v>0.22790396525207038</v>
      </c>
      <c r="I329" s="365">
        <v>0.22384577915853007</v>
      </c>
      <c r="J329" s="365">
        <v>0.21920027742788936</v>
      </c>
      <c r="K329" s="365">
        <v>0.21688605112592882</v>
      </c>
      <c r="L329" s="399">
        <v>0.21180932139746916</v>
      </c>
      <c r="M329" s="328">
        <f t="shared" si="136"/>
        <v>5.2127894264444335E-2</v>
      </c>
      <c r="N329" s="330">
        <f t="shared" si="137"/>
        <v>5.195377005791757E-2</v>
      </c>
      <c r="O329" s="364">
        <v>4.447233569507155E-5</v>
      </c>
      <c r="P329" s="365">
        <v>2.1644312574555985E-2</v>
      </c>
      <c r="Q329" s="365">
        <v>3.7462453485834747E-2</v>
      </c>
      <c r="R329" s="365">
        <v>3.5573104005765986E-2</v>
      </c>
      <c r="S329" s="365">
        <v>3.3821331204806598E-2</v>
      </c>
      <c r="T329" s="365">
        <v>3.2939022594562856E-2</v>
      </c>
      <c r="U329" s="365">
        <v>3.2194412783154824E-2</v>
      </c>
      <c r="V329" s="365">
        <v>3.094391244744802E-2</v>
      </c>
      <c r="W329" s="365">
        <v>3.0516964783555721E-2</v>
      </c>
      <c r="X329" s="365">
        <v>3.0128027940983768E-2</v>
      </c>
      <c r="Y329" s="399">
        <v>2.947170944947405E-2</v>
      </c>
      <c r="Z329" s="328">
        <f t="shared" si="138"/>
        <v>2.4750085685435404E-2</v>
      </c>
      <c r="AA329" s="330">
        <f t="shared" si="139"/>
        <v>2.4282433524641937E-2</v>
      </c>
      <c r="AB329" s="1056">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1057">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335">
        <f t="shared" si="149"/>
        <v>0</v>
      </c>
      <c r="AE329" s="1043">
        <f t="shared" si="146"/>
        <v>5.2127894264444335E-2</v>
      </c>
      <c r="AF329" s="1043">
        <f t="shared" si="147"/>
        <v>2.4750085685435404E-2</v>
      </c>
      <c r="AG329" s="1043">
        <f t="shared" si="148"/>
        <v>7.6877979949879743E-2</v>
      </c>
      <c r="AH329" s="1280">
        <f t="shared" si="144"/>
        <v>0.67806014542042969</v>
      </c>
      <c r="AI329" s="1043">
        <f t="shared" si="145"/>
        <v>0.32193985457957031</v>
      </c>
    </row>
    <row r="330" spans="1:35" x14ac:dyDescent="0.2">
      <c r="B330" s="245" t="str">
        <f>B$120</f>
        <v>Output generated: 2/21/2020 18:23</v>
      </c>
      <c r="U330" s="245" t="str">
        <f>U$120</f>
        <v>Output generated: 2/21/2020 18:23</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45" customWidth="1"/>
    <col min="2" max="2" width="10.28515625" style="245" customWidth="1"/>
    <col min="3" max="3" width="11.85546875" style="245" customWidth="1"/>
    <col min="4" max="4" width="12.5703125" style="245" customWidth="1"/>
    <col min="5" max="5" width="12.7109375" style="245" customWidth="1"/>
    <col min="6" max="6" width="12" style="245" customWidth="1"/>
    <col min="7" max="7" width="11.85546875" style="245" customWidth="1"/>
    <col min="8" max="8" width="10.85546875" style="245" bestFit="1" customWidth="1"/>
    <col min="9" max="9" width="8.42578125" style="245" customWidth="1"/>
    <col min="10" max="10" width="12.140625" style="245" customWidth="1"/>
    <col min="11" max="11" width="9.5703125" style="245" customWidth="1"/>
    <col min="12" max="12" width="10.85546875" style="245" bestFit="1" customWidth="1"/>
    <col min="13" max="13" width="9.85546875" style="245" customWidth="1"/>
    <col min="14" max="14" width="13" style="245" bestFit="1" customWidth="1"/>
    <col min="15" max="15" width="13.7109375" style="245" customWidth="1"/>
    <col min="16" max="16" width="12.5703125" style="245" customWidth="1"/>
    <col min="17" max="17" width="13.42578125" style="245" customWidth="1"/>
    <col min="18" max="18" width="11.5703125" style="245" customWidth="1"/>
    <col min="19" max="19" width="12.42578125" style="245" customWidth="1"/>
    <col min="20" max="22" width="8.42578125" style="245" customWidth="1"/>
    <col min="23" max="25" width="8.42578125" style="341" customWidth="1"/>
    <col min="26" max="28" width="8.42578125" style="245"/>
    <col min="29" max="29" width="10" style="245" customWidth="1"/>
    <col min="30" max="34" width="8.42578125" style="245"/>
    <col min="35" max="35" width="9.42578125" style="245" customWidth="1"/>
    <col min="36" max="42" width="8.42578125" style="245"/>
    <col min="43" max="43" width="9.5703125" style="245" bestFit="1" customWidth="1"/>
    <col min="44" max="44" width="7.42578125" style="245" bestFit="1" customWidth="1"/>
    <col min="45" max="47" width="8.42578125" style="245"/>
    <col min="48" max="48" width="9.5703125" style="245" bestFit="1" customWidth="1"/>
    <col min="49" max="52" width="8.42578125" style="245"/>
    <col min="53" max="53" width="9.5703125" style="245" bestFit="1" customWidth="1"/>
    <col min="54" max="58" width="8.42578125" style="245"/>
    <col min="59" max="59" width="9.5703125" style="245" bestFit="1" customWidth="1"/>
    <col min="60" max="16384" width="8.42578125" style="245"/>
  </cols>
  <sheetData>
    <row r="1" spans="2:60" ht="15.75" x14ac:dyDescent="0.25">
      <c r="B1" s="56" t="s">
        <v>252</v>
      </c>
      <c r="C1" s="250"/>
      <c r="D1" s="250"/>
      <c r="E1" s="250"/>
      <c r="F1" s="250"/>
      <c r="W1" s="245"/>
      <c r="X1" s="245"/>
      <c r="Y1" s="245"/>
    </row>
    <row r="2" spans="2:60" x14ac:dyDescent="0.2">
      <c r="Q2" s="253"/>
      <c r="W2" s="245"/>
      <c r="X2" s="245"/>
      <c r="Y2" s="245"/>
    </row>
    <row r="3" spans="2:60" x14ac:dyDescent="0.2">
      <c r="B3" s="1572" t="s">
        <v>53</v>
      </c>
      <c r="C3" s="1573"/>
      <c r="D3" s="254">
        <f>'Run Model'!C6</f>
        <v>7.4999999999999997E-2</v>
      </c>
      <c r="F3"/>
      <c r="G3"/>
      <c r="H3"/>
      <c r="J3" s="245" t="s">
        <v>127</v>
      </c>
      <c r="L3" s="1555" t="s">
        <v>390</v>
      </c>
      <c r="M3" s="1556"/>
      <c r="N3" s="1556"/>
      <c r="O3" s="1557"/>
      <c r="Q3" s="221"/>
      <c r="W3" s="245"/>
      <c r="X3" s="245"/>
      <c r="Y3" s="245"/>
    </row>
    <row r="4" spans="2:60" x14ac:dyDescent="0.2">
      <c r="B4" s="1572" t="s">
        <v>104</v>
      </c>
      <c r="C4" s="1573"/>
      <c r="D4" s="243" t="str">
        <f>'Run Model'!C7</f>
        <v>Moderate</v>
      </c>
      <c r="F4"/>
      <c r="G4"/>
      <c r="H4"/>
      <c r="J4" s="245" t="s">
        <v>126</v>
      </c>
      <c r="L4" s="1569">
        <v>43882.76599537037</v>
      </c>
      <c r="M4" s="1556"/>
      <c r="N4" s="1556"/>
      <c r="O4" s="1557"/>
      <c r="P4" s="245" t="s">
        <v>188</v>
      </c>
      <c r="W4" s="245"/>
      <c r="X4" s="245"/>
      <c r="Y4" s="245"/>
    </row>
    <row r="5" spans="2:60" x14ac:dyDescent="0.2">
      <c r="B5" s="1572" t="s">
        <v>118</v>
      </c>
      <c r="C5" s="1573"/>
      <c r="D5" s="243" t="s">
        <v>15</v>
      </c>
      <c r="F5"/>
      <c r="G5"/>
      <c r="H5"/>
      <c r="L5" s="1569">
        <v>43882.766006944446</v>
      </c>
      <c r="M5" s="1556"/>
      <c r="N5" s="1556"/>
      <c r="O5" s="1557"/>
      <c r="P5" s="245" t="s">
        <v>15</v>
      </c>
      <c r="W5" s="245"/>
      <c r="X5" s="245"/>
      <c r="Y5" s="245"/>
    </row>
    <row r="6" spans="2:60" x14ac:dyDescent="0.2">
      <c r="B6" s="1572" t="s">
        <v>68</v>
      </c>
      <c r="C6" s="1573"/>
      <c r="D6" s="256">
        <v>220702.9179341534</v>
      </c>
      <c r="F6"/>
      <c r="G6"/>
      <c r="H6"/>
      <c r="W6" s="245"/>
      <c r="X6" s="245"/>
      <c r="Y6" s="245"/>
    </row>
    <row r="7" spans="2:60" ht="6.75" customHeight="1" x14ac:dyDescent="0.2">
      <c r="Q7" s="257"/>
      <c r="W7" s="245"/>
      <c r="X7" s="245"/>
      <c r="Y7" s="245"/>
    </row>
    <row r="8" spans="2:60" s="258" customFormat="1" ht="15.75" thickBot="1" x14ac:dyDescent="0.3">
      <c r="B8" s="23" t="s">
        <v>74</v>
      </c>
      <c r="C8" s="245"/>
      <c r="D8" s="245"/>
      <c r="E8" s="245"/>
      <c r="F8" s="245"/>
      <c r="G8" s="245"/>
      <c r="H8" s="245"/>
      <c r="I8" s="245"/>
      <c r="J8" s="245"/>
      <c r="K8" s="245"/>
      <c r="L8" s="245"/>
      <c r="M8" s="245"/>
      <c r="N8" s="257"/>
      <c r="O8" s="257"/>
      <c r="P8" s="259"/>
      <c r="Q8" s="260"/>
      <c r="Z8" s="261"/>
      <c r="AA8" s="262"/>
      <c r="AO8" s="263"/>
      <c r="AP8" s="263"/>
      <c r="AQ8" s="263"/>
      <c r="AR8" s="263"/>
    </row>
    <row r="9" spans="2:60" s="1139" customFormat="1" ht="28.5" customHeight="1" x14ac:dyDescent="0.2">
      <c r="B9" s="1134"/>
      <c r="C9" s="1135"/>
      <c r="D9" s="1136"/>
      <c r="E9" s="1136"/>
      <c r="F9" s="1135"/>
      <c r="G9" s="1136"/>
      <c r="H9" s="1135"/>
      <c r="I9" s="1136"/>
      <c r="J9" s="1543" t="s">
        <v>76</v>
      </c>
      <c r="K9" s="1544"/>
      <c r="L9" s="1583" t="s">
        <v>83</v>
      </c>
      <c r="M9" s="1583"/>
      <c r="N9" s="1584" t="s">
        <v>109</v>
      </c>
      <c r="O9" s="1583"/>
      <c r="P9" s="1583"/>
      <c r="Q9" s="1585"/>
      <c r="R9" s="1137"/>
      <c r="S9" s="1138"/>
      <c r="AB9" s="1140"/>
      <c r="AC9" s="1141"/>
      <c r="AQ9" s="263"/>
      <c r="AR9" s="263"/>
      <c r="AS9" s="263"/>
      <c r="AT9" s="263"/>
    </row>
    <row r="10" spans="2:60" s="258" customFormat="1" ht="26.25" thickBot="1" x14ac:dyDescent="0.25">
      <c r="B10" s="267"/>
      <c r="C10" s="822" t="s">
        <v>75</v>
      </c>
      <c r="D10" s="813"/>
      <c r="E10" s="814"/>
      <c r="F10" s="746" t="s">
        <v>217</v>
      </c>
      <c r="G10" s="747" t="s">
        <v>216</v>
      </c>
      <c r="H10" s="746" t="s">
        <v>273</v>
      </c>
      <c r="I10" s="747" t="s">
        <v>81</v>
      </c>
      <c r="J10" s="1220" t="s">
        <v>292</v>
      </c>
      <c r="K10" s="1221" t="s">
        <v>293</v>
      </c>
      <c r="L10" s="672" t="s">
        <v>113</v>
      </c>
      <c r="M10" s="268" t="s">
        <v>84</v>
      </c>
      <c r="N10" s="269" t="s">
        <v>95</v>
      </c>
      <c r="O10" s="268" t="s">
        <v>112</v>
      </c>
      <c r="P10" s="268" t="s">
        <v>120</v>
      </c>
      <c r="Q10" s="270" t="s">
        <v>108</v>
      </c>
      <c r="R10" s="259"/>
      <c r="S10" s="260"/>
      <c r="AB10" s="261"/>
      <c r="AC10" s="262"/>
      <c r="AI10" s="889"/>
      <c r="AJ10" s="891"/>
      <c r="AO10" s="891"/>
      <c r="AQ10" s="263"/>
      <c r="AR10" s="263"/>
      <c r="AS10" s="263"/>
      <c r="AT10" s="263"/>
    </row>
    <row r="11" spans="2:60" s="258" customFormat="1" ht="13.5" thickTop="1" x14ac:dyDescent="0.2">
      <c r="B11" s="271" t="s">
        <v>69</v>
      </c>
      <c r="C11" s="968" t="str">
        <f t="shared" ref="C11:C16" si="0">INDEX(TECH_OPT_PARAMS_Cls2,MATCH($B11,TECH_OPT_ROWS_Cls2,0),MATCH(C$10,TECH_OPT_COLS_Cls2,0))</f>
        <v>Conventional Diesel ICE</v>
      </c>
      <c r="D11" s="969"/>
      <c r="E11" s="970"/>
      <c r="F11" s="980" t="str">
        <f t="shared" ref="F11:O16" si="1">INDEX(TECH_OPT_PARAMS_Cls2,MATCH($B11,TECH_OPT_ROWS_Cls2,0),MATCH(F$10,TECH_OPT_COLS_Cls2,0))</f>
        <v>Diesel</v>
      </c>
      <c r="G11" s="980" t="str">
        <f t="shared" si="1"/>
        <v>N/A</v>
      </c>
      <c r="H11" s="1003" t="b">
        <f t="shared" si="1"/>
        <v>0</v>
      </c>
      <c r="I11" s="821">
        <f t="shared" si="1"/>
        <v>0</v>
      </c>
      <c r="J11" s="821">
        <f t="shared" si="1"/>
        <v>0</v>
      </c>
      <c r="K11" s="1142">
        <f t="shared" si="1"/>
        <v>0</v>
      </c>
      <c r="L11" s="1143">
        <f t="shared" si="1"/>
        <v>0</v>
      </c>
      <c r="M11" s="821">
        <f t="shared" si="1"/>
        <v>0</v>
      </c>
      <c r="N11" s="820">
        <f t="shared" si="1"/>
        <v>0</v>
      </c>
      <c r="O11" s="367">
        <f t="shared" si="1"/>
        <v>350</v>
      </c>
      <c r="P11" s="272">
        <f>$D$6*('Inputs 7&amp;8 Day'!$N8/('Inputs 7&amp;8 Day'!$O8*1000))/12</f>
        <v>0</v>
      </c>
      <c r="Q11" s="273"/>
      <c r="R11" s="274"/>
      <c r="S11" s="260"/>
      <c r="T11" s="260"/>
      <c r="U11" s="260"/>
      <c r="V11" s="260"/>
      <c r="AD11"/>
      <c r="AE11"/>
      <c r="AF11"/>
      <c r="AG11"/>
      <c r="AH11"/>
      <c r="AI11"/>
      <c r="AJ11"/>
      <c r="AK11"/>
      <c r="AL11"/>
      <c r="AM11"/>
      <c r="AN11"/>
      <c r="AO11"/>
      <c r="AP11"/>
      <c r="AQ11"/>
      <c r="AR11"/>
      <c r="AS11"/>
      <c r="AT11"/>
      <c r="AU11"/>
      <c r="AV11"/>
      <c r="AW11"/>
      <c r="AX11"/>
      <c r="AY11"/>
      <c r="AZ11"/>
      <c r="BA11"/>
      <c r="BB11"/>
      <c r="BC11"/>
      <c r="BD11"/>
      <c r="BE11"/>
      <c r="BF11"/>
      <c r="BG11"/>
      <c r="BH11"/>
    </row>
    <row r="12" spans="2:60" s="258" customFormat="1" x14ac:dyDescent="0.2">
      <c r="B12" s="275" t="s">
        <v>65</v>
      </c>
      <c r="C12" s="971" t="str">
        <f t="shared" si="0"/>
        <v>Adv Conv</v>
      </c>
      <c r="D12" s="972"/>
      <c r="E12" s="973"/>
      <c r="F12" s="981" t="str">
        <f t="shared" si="1"/>
        <v>Diesel</v>
      </c>
      <c r="G12" s="982" t="str">
        <f t="shared" si="1"/>
        <v>N/A</v>
      </c>
      <c r="H12" s="1004" t="b">
        <f t="shared" si="1"/>
        <v>0</v>
      </c>
      <c r="I12" s="255">
        <f t="shared" si="1"/>
        <v>2020</v>
      </c>
      <c r="J12" s="255">
        <f t="shared" si="1"/>
        <v>0</v>
      </c>
      <c r="K12" s="1093">
        <f t="shared" si="1"/>
        <v>0.5</v>
      </c>
      <c r="L12" s="840">
        <f t="shared" si="1"/>
        <v>5000</v>
      </c>
      <c r="M12" s="255">
        <f t="shared" si="1"/>
        <v>100</v>
      </c>
      <c r="N12" s="255">
        <f t="shared" si="1"/>
        <v>0</v>
      </c>
      <c r="O12" s="368">
        <f t="shared" si="1"/>
        <v>350</v>
      </c>
      <c r="P12" s="276">
        <f>$D$6*('Inputs 7&amp;8 Day'!$N9/('Inputs 7&amp;8 Day'!$O9*1000))/12</f>
        <v>0</v>
      </c>
      <c r="Q12" s="277">
        <f>P$11-P12</f>
        <v>0</v>
      </c>
      <c r="R12" s="274"/>
      <c r="S12" s="278"/>
      <c r="AD12"/>
      <c r="AE12"/>
      <c r="AF12"/>
      <c r="AG12"/>
      <c r="AH12"/>
      <c r="AI12"/>
      <c r="AJ12"/>
      <c r="AK12"/>
      <c r="AL12"/>
      <c r="AM12"/>
      <c r="AN12"/>
      <c r="AO12"/>
      <c r="AP12"/>
      <c r="AQ12"/>
      <c r="AR12"/>
      <c r="AS12"/>
      <c r="AT12"/>
      <c r="AU12"/>
      <c r="AV12"/>
      <c r="AW12"/>
      <c r="AX12"/>
      <c r="AY12"/>
      <c r="AZ12"/>
      <c r="BA12"/>
      <c r="BB12"/>
      <c r="BC12"/>
      <c r="BD12"/>
      <c r="BE12"/>
      <c r="BF12"/>
      <c r="BG12"/>
      <c r="BH12"/>
    </row>
    <row r="13" spans="2:60" s="258" customFormat="1" x14ac:dyDescent="0.2">
      <c r="B13" s="275" t="s">
        <v>66</v>
      </c>
      <c r="C13" s="971" t="str">
        <f t="shared" si="0"/>
        <v>ISG</v>
      </c>
      <c r="D13" s="972"/>
      <c r="E13" s="973"/>
      <c r="F13" s="981" t="str">
        <f t="shared" si="1"/>
        <v>Diesel</v>
      </c>
      <c r="G13" s="982" t="str">
        <f t="shared" si="1"/>
        <v>N/A</v>
      </c>
      <c r="H13" s="1004" t="b">
        <f t="shared" si="1"/>
        <v>0</v>
      </c>
      <c r="I13" s="255">
        <f t="shared" si="1"/>
        <v>2020</v>
      </c>
      <c r="J13" s="255">
        <f t="shared" si="1"/>
        <v>0</v>
      </c>
      <c r="K13" s="1093">
        <f t="shared" si="1"/>
        <v>0.5</v>
      </c>
      <c r="L13" s="840">
        <f t="shared" si="1"/>
        <v>5000</v>
      </c>
      <c r="M13" s="255">
        <f t="shared" si="1"/>
        <v>100</v>
      </c>
      <c r="N13" s="255">
        <f t="shared" si="1"/>
        <v>0</v>
      </c>
      <c r="O13" s="368">
        <f t="shared" si="1"/>
        <v>350</v>
      </c>
      <c r="P13" s="276">
        <f>$D$6*('Inputs 7&amp;8 Day'!$N10/('Inputs 7&amp;8 Day'!$O10*1000))/12</f>
        <v>0</v>
      </c>
      <c r="Q13" s="277">
        <f>P$11-P13</f>
        <v>0</v>
      </c>
      <c r="R13" s="274"/>
      <c r="S13" s="278"/>
      <c r="AD13"/>
      <c r="AE13"/>
      <c r="AF13"/>
      <c r="AG13"/>
      <c r="AH13"/>
      <c r="AI13"/>
      <c r="AJ13"/>
      <c r="AK13"/>
      <c r="AL13"/>
      <c r="AM13"/>
      <c r="AN13"/>
      <c r="AO13"/>
      <c r="AP13"/>
      <c r="AQ13"/>
      <c r="AR13"/>
      <c r="AS13"/>
      <c r="AT13"/>
      <c r="AU13"/>
      <c r="AV13"/>
      <c r="AW13"/>
      <c r="AX13"/>
      <c r="AY13"/>
      <c r="AZ13"/>
      <c r="BA13"/>
      <c r="BB13"/>
      <c r="BC13"/>
      <c r="BD13"/>
      <c r="BE13"/>
      <c r="BF13"/>
      <c r="BG13"/>
      <c r="BH13"/>
    </row>
    <row r="14" spans="2:60" s="258" customFormat="1" x14ac:dyDescent="0.2">
      <c r="B14" s="275" t="s">
        <v>67</v>
      </c>
      <c r="C14" s="971" t="str">
        <f t="shared" si="0"/>
        <v>PHEV</v>
      </c>
      <c r="D14" s="972"/>
      <c r="E14" s="973"/>
      <c r="F14" s="981" t="str">
        <f t="shared" si="1"/>
        <v>Diesel</v>
      </c>
      <c r="G14" s="982" t="str">
        <f t="shared" si="1"/>
        <v>Electricity</v>
      </c>
      <c r="H14" s="1004" t="b">
        <f t="shared" si="1"/>
        <v>0</v>
      </c>
      <c r="I14" s="255">
        <f t="shared" si="1"/>
        <v>2020</v>
      </c>
      <c r="J14" s="255">
        <f t="shared" si="1"/>
        <v>0</v>
      </c>
      <c r="K14" s="1093">
        <f t="shared" si="1"/>
        <v>0.5</v>
      </c>
      <c r="L14" s="840">
        <f t="shared" si="1"/>
        <v>5000</v>
      </c>
      <c r="M14" s="255">
        <f t="shared" si="1"/>
        <v>100</v>
      </c>
      <c r="N14" s="255">
        <f t="shared" si="1"/>
        <v>0</v>
      </c>
      <c r="O14" s="368">
        <f t="shared" si="1"/>
        <v>350</v>
      </c>
      <c r="P14" s="276">
        <f>$D$6*('Inputs 7&amp;8 Day'!$N11/('Inputs 7&amp;8 Day'!$O11*1000))/12</f>
        <v>0</v>
      </c>
      <c r="Q14" s="277">
        <f t="shared" ref="Q14:Q16" si="2">P$11-P14</f>
        <v>0</v>
      </c>
      <c r="R14" s="274"/>
      <c r="S14" s="278"/>
      <c r="AD14"/>
      <c r="AE14"/>
      <c r="AF14"/>
      <c r="AG14"/>
      <c r="AH14"/>
      <c r="AI14"/>
      <c r="AJ14"/>
      <c r="AK14"/>
      <c r="AL14"/>
      <c r="AM14"/>
      <c r="AN14"/>
      <c r="AO14"/>
      <c r="AP14"/>
      <c r="AQ14"/>
      <c r="AR14"/>
      <c r="AS14"/>
      <c r="AT14"/>
      <c r="AU14"/>
      <c r="AV14"/>
      <c r="AW14"/>
      <c r="AX14"/>
      <c r="AY14"/>
      <c r="AZ14"/>
      <c r="BA14"/>
      <c r="BB14"/>
      <c r="BC14"/>
      <c r="BD14"/>
      <c r="BE14"/>
      <c r="BF14"/>
      <c r="BG14"/>
      <c r="BH14"/>
    </row>
    <row r="15" spans="2:60" s="258" customFormat="1" x14ac:dyDescent="0.2">
      <c r="B15" s="275" t="s">
        <v>207</v>
      </c>
      <c r="C15" s="974" t="str">
        <f t="shared" si="0"/>
        <v>BEV</v>
      </c>
      <c r="D15" s="975"/>
      <c r="E15" s="976"/>
      <c r="F15" s="983" t="str">
        <f t="shared" si="1"/>
        <v>Electricity</v>
      </c>
      <c r="G15" s="984" t="str">
        <f t="shared" si="1"/>
        <v>N/A</v>
      </c>
      <c r="H15" s="1004" t="b">
        <f t="shared" si="1"/>
        <v>1</v>
      </c>
      <c r="I15" s="255">
        <f t="shared" si="1"/>
        <v>2020</v>
      </c>
      <c r="J15" s="255">
        <f t="shared" si="1"/>
        <v>0</v>
      </c>
      <c r="K15" s="1093">
        <f t="shared" si="1"/>
        <v>0.5</v>
      </c>
      <c r="L15" s="840">
        <f t="shared" si="1"/>
        <v>5000</v>
      </c>
      <c r="M15" s="255">
        <f t="shared" si="1"/>
        <v>100</v>
      </c>
      <c r="N15" s="255">
        <f t="shared" si="1"/>
        <v>0</v>
      </c>
      <c r="O15" s="368">
        <f t="shared" si="1"/>
        <v>350</v>
      </c>
      <c r="P15" s="276">
        <f>$D$6*('Inputs 7&amp;8 Day'!$N12/('Inputs 7&amp;8 Day'!$O12*1000))/12</f>
        <v>0</v>
      </c>
      <c r="Q15" s="277">
        <f t="shared" si="2"/>
        <v>0</v>
      </c>
      <c r="R15" s="274"/>
      <c r="S15" s="278"/>
      <c r="AD15"/>
      <c r="AE15"/>
      <c r="AF15"/>
      <c r="AG15"/>
      <c r="AH15"/>
      <c r="AI15"/>
      <c r="AJ15"/>
      <c r="AK15"/>
      <c r="AL15"/>
      <c r="AM15"/>
      <c r="AN15"/>
      <c r="AO15"/>
      <c r="AP15"/>
      <c r="AQ15"/>
      <c r="AR15"/>
      <c r="AS15"/>
      <c r="AT15"/>
      <c r="AU15"/>
      <c r="AV15"/>
      <c r="AW15"/>
      <c r="AX15"/>
      <c r="AY15"/>
      <c r="AZ15"/>
      <c r="BA15"/>
      <c r="BB15"/>
      <c r="BC15"/>
      <c r="BD15"/>
      <c r="BE15"/>
      <c r="BF15"/>
      <c r="BG15"/>
      <c r="BH15"/>
    </row>
    <row r="16" spans="2:60" s="258" customFormat="1" ht="13.5" thickBot="1" x14ac:dyDescent="0.25">
      <c r="B16" s="279" t="s">
        <v>208</v>
      </c>
      <c r="C16" s="977" t="str">
        <f t="shared" si="0"/>
        <v>FCHEV</v>
      </c>
      <c r="D16" s="978"/>
      <c r="E16" s="979"/>
      <c r="F16" s="985" t="str">
        <f t="shared" si="1"/>
        <v>Hydrogen</v>
      </c>
      <c r="G16" s="986" t="str">
        <f t="shared" si="1"/>
        <v>N/A</v>
      </c>
      <c r="H16" s="1005" t="b">
        <f t="shared" si="1"/>
        <v>0</v>
      </c>
      <c r="I16" s="282">
        <f t="shared" si="1"/>
        <v>2020</v>
      </c>
      <c r="J16" s="282">
        <f t="shared" si="1"/>
        <v>0</v>
      </c>
      <c r="K16" s="1094">
        <f t="shared" si="1"/>
        <v>0.5</v>
      </c>
      <c r="L16" s="841">
        <f t="shared" si="1"/>
        <v>5000</v>
      </c>
      <c r="M16" s="282">
        <f t="shared" si="1"/>
        <v>100</v>
      </c>
      <c r="N16" s="282">
        <f t="shared" si="1"/>
        <v>0</v>
      </c>
      <c r="O16" s="369">
        <f t="shared" si="1"/>
        <v>350</v>
      </c>
      <c r="P16" s="283">
        <f>$D$6*('Inputs 7&amp;8 Day'!$N13/('Inputs 7&amp;8 Day'!$O13*1000))/12</f>
        <v>0</v>
      </c>
      <c r="Q16" s="284">
        <f t="shared" si="2"/>
        <v>0</v>
      </c>
      <c r="R16" s="274"/>
      <c r="S16" s="278"/>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86"/>
      <c r="L17" s="259"/>
      <c r="M17" s="257"/>
      <c r="N17" s="257"/>
      <c r="O17" s="286"/>
      <c r="P17" s="259"/>
      <c r="Q17" s="260"/>
      <c r="R17" s="258">
        <f>VLOOKUP($A38,IF($D$5="Central",FuelPriceCent,FuelPriceNCent),MATCH(Q$21,FuelPriceCols,0),0)*(K38*$D$6)/(12*INDEX(FUEL1MPG_Cls2,$A38-($A$24-1),MATCH(Q$20,TECHOPTS_Cls2,0)))</f>
        <v>9428.7880165506194</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N18" s="288"/>
      <c r="Q18" s="288"/>
      <c r="W18" s="245"/>
      <c r="X18" s="245"/>
      <c r="Y18" s="245"/>
      <c r="AC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INDEX(AdoptCols,AU18)</f>
        <v>Moderate</v>
      </c>
      <c r="AW18" s="897"/>
      <c r="AX18" s="895"/>
      <c r="AY18" s="906"/>
      <c r="AZ18" s="896"/>
      <c r="BA18" s="896"/>
      <c r="BB18"/>
      <c r="BC18"/>
      <c r="BD18"/>
      <c r="BE18"/>
      <c r="BF18"/>
      <c r="BG18"/>
      <c r="BH18"/>
    </row>
    <row r="19" spans="1:60" s="29" customFormat="1" ht="15.75" thickBot="1" x14ac:dyDescent="0.3">
      <c r="A19" s="910"/>
      <c r="B19" s="1566" t="s">
        <v>240</v>
      </c>
      <c r="C19" s="1567"/>
      <c r="D19" s="1567"/>
      <c r="E19" s="1567"/>
      <c r="F19" s="1567"/>
      <c r="G19" s="1568"/>
      <c r="H19" s="1586" t="s">
        <v>226</v>
      </c>
      <c r="I19" s="1587"/>
      <c r="J19" s="1587"/>
      <c r="K19" s="1587"/>
      <c r="L19" s="1587"/>
      <c r="M19" s="1588"/>
      <c r="N19" s="1567"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7"/>
      <c r="AN19" s="1566" t="s">
        <v>100</v>
      </c>
      <c r="AO19" s="1567"/>
      <c r="AP19" s="1567"/>
      <c r="AQ19" s="1567"/>
      <c r="AR19" s="1568"/>
      <c r="AS19" s="1566" t="s">
        <v>73</v>
      </c>
      <c r="AT19" s="1567"/>
      <c r="AU19" s="1567"/>
      <c r="AV19" s="1567"/>
      <c r="AW19" s="1568"/>
      <c r="AX19" s="1567" t="s">
        <v>102</v>
      </c>
      <c r="AY19" s="1567"/>
      <c r="AZ19" s="1567"/>
      <c r="BA19" s="1567"/>
      <c r="BB19" s="1568"/>
      <c r="BC19" s="1566" t="s">
        <v>82</v>
      </c>
      <c r="BD19" s="1567"/>
      <c r="BE19" s="1567"/>
      <c r="BF19" s="1567"/>
      <c r="BG19" s="1567"/>
      <c r="BH19" s="1568"/>
    </row>
    <row r="20" spans="1:60" ht="15" customHeight="1" x14ac:dyDescent="0.2">
      <c r="A20" s="290"/>
      <c r="B20" s="1144" t="s">
        <v>69</v>
      </c>
      <c r="C20" s="1145" t="s">
        <v>65</v>
      </c>
      <c r="D20" s="1145" t="s">
        <v>66</v>
      </c>
      <c r="E20" s="1145" t="s">
        <v>67</v>
      </c>
      <c r="F20" s="1145" t="s">
        <v>207</v>
      </c>
      <c r="G20" s="1191" t="s">
        <v>208</v>
      </c>
      <c r="H20" s="1204" t="s">
        <v>69</v>
      </c>
      <c r="I20" s="1205" t="s">
        <v>65</v>
      </c>
      <c r="J20" s="1205" t="s">
        <v>66</v>
      </c>
      <c r="K20" s="1205" t="s">
        <v>67</v>
      </c>
      <c r="L20" s="1205" t="s">
        <v>207</v>
      </c>
      <c r="M20" s="1206"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150" t="s">
        <v>65</v>
      </c>
      <c r="AJ20" s="1151" t="s">
        <v>66</v>
      </c>
      <c r="AK20" s="1151" t="s">
        <v>67</v>
      </c>
      <c r="AL20" s="1145" t="s">
        <v>207</v>
      </c>
      <c r="AM20" s="1191"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92" customFormat="1" x14ac:dyDescent="0.2">
      <c r="A21" s="290"/>
      <c r="B21" s="1198"/>
      <c r="C21" s="1199"/>
      <c r="D21" s="1199"/>
      <c r="E21" s="1199"/>
      <c r="F21" s="1199"/>
      <c r="G21" s="1200"/>
      <c r="H21" s="1192" t="str">
        <f>IF(INDEX($G$11:$G$16,MATCH(H20,$B$11:$B$16,0))="N/A","Single-fuel","Dual-Fuel")</f>
        <v>Single-fuel</v>
      </c>
      <c r="I21" s="1193" t="str">
        <f t="shared" ref="I21:M21" si="3">IF(INDEX($G$11:$G$16,MATCH(I20,$B$11:$B$16,0))="N/A","Single-fuel","Dual-Fuel")</f>
        <v>Single-fuel</v>
      </c>
      <c r="J21" s="1193" t="str">
        <f t="shared" si="3"/>
        <v>Single-fuel</v>
      </c>
      <c r="K21" s="1193" t="str">
        <f t="shared" si="3"/>
        <v>Dual-Fuel</v>
      </c>
      <c r="L21" s="1193" t="str">
        <f t="shared" si="3"/>
        <v>Single-fuel</v>
      </c>
      <c r="M21" s="1194" t="str">
        <f t="shared" si="3"/>
        <v>Single-fuel</v>
      </c>
      <c r="N21" s="1100" t="str">
        <f>INDEX($F$11:$F$16,MATCH(N20,$B$11:$B$16,0))</f>
        <v>Diesel</v>
      </c>
      <c r="O21" s="1101" t="str">
        <f t="shared" ref="O21:S21" si="4">INDEX($F$11:$F$16,MATCH(RIGHT(O20),$B$11:$B$16,0))</f>
        <v>Diesel</v>
      </c>
      <c r="P21" s="1101" t="str">
        <f t="shared" si="4"/>
        <v>Diesel</v>
      </c>
      <c r="Q21" s="1101" t="str">
        <f t="shared" si="4"/>
        <v>Diesel</v>
      </c>
      <c r="R21" s="1101" t="str">
        <f t="shared" si="4"/>
        <v>Electricity</v>
      </c>
      <c r="S21" s="1102" t="str">
        <f t="shared" si="4"/>
        <v>Hydrogen</v>
      </c>
      <c r="T21" s="1580" t="s">
        <v>117</v>
      </c>
      <c r="U21" s="1581"/>
      <c r="V21" s="1581"/>
      <c r="W21" s="1581"/>
      <c r="X21" s="1582"/>
      <c r="Y21" s="1154" t="str">
        <f>INDEX($F$11:$F$16,MATCH(Y20,$B$11:$B$16,0))</f>
        <v>Diesel</v>
      </c>
      <c r="Z21" s="1155" t="str">
        <f t="shared" ref="Z21:AC21" si="5">INDEX($F$11:$F$16,MATCH(Z20,$B$11:$B$16,0))</f>
        <v>Diesel</v>
      </c>
      <c r="AA21" s="1155" t="str">
        <f t="shared" si="5"/>
        <v>Diesel</v>
      </c>
      <c r="AB21" s="1155" t="str">
        <f t="shared" si="5"/>
        <v>Electricity</v>
      </c>
      <c r="AC21" s="1156" t="str">
        <f t="shared" si="5"/>
        <v>Hydrogen</v>
      </c>
      <c r="AD21" s="1157">
        <f>INDEX($L$11:$L$16,MATCH(AD20,$B$11:$B$16,0))</f>
        <v>5000</v>
      </c>
      <c r="AE21" s="1126">
        <f>INDEX($L$11:$L$16,MATCH(AE20,$B$11:$B$16,0))</f>
        <v>5000</v>
      </c>
      <c r="AF21" s="1126">
        <f>INDEX($L$11:$L$16,MATCH(AF20,$B$11:$B$16,0))</f>
        <v>5000</v>
      </c>
      <c r="AG21" s="1126">
        <f>INDEX($L$11:$L$16,MATCH(AG20,$B$11:$B$16,0))</f>
        <v>5000</v>
      </c>
      <c r="AH21" s="1127">
        <f>INDEX($L$11:$L$16,MATCH(AH20,$B$11:$B$16,0))</f>
        <v>5000</v>
      </c>
      <c r="AI21" s="1159">
        <f>INDEX($J$11:$J$16,MATCH(AI20,$B$11:$B$16,0))</f>
        <v>0</v>
      </c>
      <c r="AJ21" s="1160">
        <f t="shared" ref="AJ21:AM21" si="6">INDEX($J$11:$J$16,MATCH(AJ20,$B$11:$B$16,0))</f>
        <v>0</v>
      </c>
      <c r="AK21" s="1160">
        <f t="shared" si="6"/>
        <v>0</v>
      </c>
      <c r="AL21" s="1160">
        <f t="shared" si="6"/>
        <v>0</v>
      </c>
      <c r="AM21" s="1161">
        <f t="shared" si="6"/>
        <v>0</v>
      </c>
      <c r="AN21" s="1100" t="str">
        <f>INDEX($F$11:$F$16,MATCH(AN20,$B$11:$B$16,0))</f>
        <v>Diesel</v>
      </c>
      <c r="AO21" s="1101" t="str">
        <f t="shared" ref="AO21" si="7">INDEX($F$11:$F$16,MATCH(AO20,$B$11:$B$16,0))</f>
        <v>Diesel</v>
      </c>
      <c r="AP21" s="1101" t="str">
        <f t="shared" ref="AP21" si="8">INDEX($F$11:$F$16,MATCH(AP20,$B$11:$B$16,0))</f>
        <v>Diesel</v>
      </c>
      <c r="AQ21" s="1101" t="str">
        <f t="shared" ref="AQ21" si="9">INDEX($F$11:$F$16,MATCH(AQ20,$B$11:$B$16,0))</f>
        <v>Electricity</v>
      </c>
      <c r="AR21" s="1102" t="str">
        <f t="shared" ref="AR21" si="10">INDEX($F$11:$F$16,MATCH(AR20,$B$11:$B$16,0))</f>
        <v>Hydrogen</v>
      </c>
      <c r="AS21" s="1154" t="str">
        <f>INDEX($F$11:$F$16,MATCH(AS20,$B$11:$B$16,0))</f>
        <v>Diesel</v>
      </c>
      <c r="AT21" s="1155" t="str">
        <f t="shared" ref="AT21" si="11">INDEX($F$11:$F$16,MATCH(AT20,$B$11:$B$16,0))</f>
        <v>Diesel</v>
      </c>
      <c r="AU21" s="1155" t="str">
        <f t="shared" ref="AU21" si="12">INDEX($F$11:$F$16,MATCH(AU20,$B$11:$B$16,0))</f>
        <v>Diesel</v>
      </c>
      <c r="AV21" s="1155" t="str">
        <f t="shared" ref="AV21" si="13">INDEX($F$11:$F$16,MATCH(AV20,$B$11:$B$16,0))</f>
        <v>Electricity</v>
      </c>
      <c r="AW21" s="1156" t="str">
        <f t="shared" ref="AW21" si="14">INDEX($F$11:$F$16,MATCH(AW20,$B$11:$B$16,0))</f>
        <v>Hydrogen</v>
      </c>
      <c r="AX21" s="1154" t="str">
        <f>INDEX($F$11:$F$16,MATCH(AX20,$B$11:$B$16,0))</f>
        <v>Diesel</v>
      </c>
      <c r="AY21" s="1155" t="str">
        <f t="shared" ref="AY21" si="15">INDEX($F$11:$F$16,MATCH(AY20,$B$11:$B$16,0))</f>
        <v>Diesel</v>
      </c>
      <c r="AZ21" s="1155" t="str">
        <f t="shared" ref="AZ21" si="16">INDEX($F$11:$F$16,MATCH(AZ20,$B$11:$B$16,0))</f>
        <v>Diesel</v>
      </c>
      <c r="BA21" s="1155" t="str">
        <f t="shared" ref="BA21" si="17">INDEX($F$11:$F$16,MATCH(BA20,$B$11:$B$16,0))</f>
        <v>Electricity</v>
      </c>
      <c r="BB21" s="1156" t="str">
        <f t="shared" ref="BB21" si="18">INDEX($F$11:$F$16,MATCH(BB20,$B$11:$B$16,0))</f>
        <v>Hydrogen</v>
      </c>
      <c r="BC21" s="1165" t="str">
        <f>INDEX($F$11:$F$16,MATCH(BC20,$B$11:$B$16,0))</f>
        <v>Diesel</v>
      </c>
      <c r="BD21" s="1155" t="str">
        <f t="shared" ref="BD21" si="19">INDEX($F$11:$F$16,MATCH(BD20,$B$11:$B$16,0))</f>
        <v>Diesel</v>
      </c>
      <c r="BE21" s="1155" t="str">
        <f t="shared" ref="BE21" si="20">INDEX($F$11:$F$16,MATCH(BE20,$B$11:$B$16,0))</f>
        <v>Diesel</v>
      </c>
      <c r="BF21" s="1155" t="str">
        <f t="shared" ref="BF21" si="21">INDEX($F$11:$F$16,MATCH(BF20,$B$11:$B$16,0))</f>
        <v>Diesel</v>
      </c>
      <c r="BG21" s="1155" t="str">
        <f t="shared" ref="BG21:BH21" si="22">INDEX($F$11:$F$16,MATCH(BG20,$B$11:$B$16,0))</f>
        <v>Electricity</v>
      </c>
      <c r="BH21" s="1156" t="str">
        <f t="shared" si="22"/>
        <v>Hydrogen</v>
      </c>
    </row>
    <row r="22" spans="1:60" x14ac:dyDescent="0.2">
      <c r="A22" s="290"/>
      <c r="B22" s="1198"/>
      <c r="C22" s="1199"/>
      <c r="D22" s="1199"/>
      <c r="E22" s="1199"/>
      <c r="F22" s="1199"/>
      <c r="G22" s="1200"/>
      <c r="H22" s="1192"/>
      <c r="I22" s="1193"/>
      <c r="J22" s="1193"/>
      <c r="K22" s="1193"/>
      <c r="L22" s="1193"/>
      <c r="M22" s="1194"/>
      <c r="N22" s="1146"/>
      <c r="O22" s="1115"/>
      <c r="P22" s="1115"/>
      <c r="Q22" s="1115"/>
      <c r="R22" s="1115"/>
      <c r="S22" s="1116"/>
      <c r="T22" s="1109">
        <f>Q12</f>
        <v>0</v>
      </c>
      <c r="U22" s="1110">
        <f>Q13</f>
        <v>0</v>
      </c>
      <c r="V22" s="1152">
        <f>INDEX($Q$11:$Q$16,MATCH(V20,$B$11:$B$16,0))</f>
        <v>0</v>
      </c>
      <c r="W22" s="1110">
        <f>INDEX($Q$11:$Q$16,MATCH(W20,$B$11:$B$16,0))</f>
        <v>0</v>
      </c>
      <c r="X22" s="1111">
        <f>INDEX($Q$11:$Q$16,MATCH(X20,$B$11:$B$16,0))</f>
        <v>0</v>
      </c>
      <c r="Y22" s="1117" t="b">
        <f>INDEX($H$11:$H$16,MATCH(Y20,$B$11:$B$16,0))</f>
        <v>0</v>
      </c>
      <c r="Z22" s="1118" t="b">
        <f t="shared" ref="Z22:AC22" si="23">INDEX($H$11:$H$16,MATCH(Z20,$B$11:$B$16,0))</f>
        <v>0</v>
      </c>
      <c r="AA22" s="1118" t="b">
        <f t="shared" si="23"/>
        <v>0</v>
      </c>
      <c r="AB22" s="1118" t="b">
        <f t="shared" si="23"/>
        <v>1</v>
      </c>
      <c r="AC22" s="1119" t="b">
        <f t="shared" si="23"/>
        <v>0</v>
      </c>
      <c r="AD22" s="1157">
        <f>INDEX($M$11:$M$16,MATCH(AD20,$B$11:$B$16,0))</f>
        <v>100</v>
      </c>
      <c r="AE22" s="1126">
        <f>INDEX($M$11:$M$16,MATCH(AE20,$B$11:$B$16,0))</f>
        <v>100</v>
      </c>
      <c r="AF22" s="1126">
        <f>INDEX($M$11:$M$16,MATCH(AF20,$B$11:$B$16,0))</f>
        <v>100</v>
      </c>
      <c r="AG22" s="1126">
        <f>INDEX($M$11:$M$16,MATCH(AG20,$B$11:$B$16,0))</f>
        <v>100</v>
      </c>
      <c r="AH22" s="1127">
        <f>INDEX($M$11:$M$16,MATCH(AH20,$B$11:$B$16,0))</f>
        <v>100</v>
      </c>
      <c r="AI22" s="1159">
        <f>INDEX($K$11:$K$16,MATCH(AI20,$B$11:$B$16,0))</f>
        <v>0.5</v>
      </c>
      <c r="AJ22" s="1160">
        <f t="shared" ref="AJ22:AM22" si="24">INDEX($K$11:$K$16,MATCH(AJ20,$B$11:$B$16,0))</f>
        <v>0.5</v>
      </c>
      <c r="AK22" s="1160">
        <f t="shared" si="24"/>
        <v>0.5</v>
      </c>
      <c r="AL22" s="1160">
        <f t="shared" si="24"/>
        <v>0.5</v>
      </c>
      <c r="AM22" s="1161">
        <f t="shared" si="24"/>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79"/>
      <c r="B23" s="1201"/>
      <c r="C23" s="1202"/>
      <c r="D23" s="1202"/>
      <c r="E23" s="1202"/>
      <c r="F23" s="1202"/>
      <c r="G23" s="1203"/>
      <c r="H23" s="1195"/>
      <c r="I23" s="1196"/>
      <c r="J23" s="1196"/>
      <c r="K23" s="1196"/>
      <c r="L23" s="1196"/>
      <c r="M23" s="1197"/>
      <c r="N23" s="1147"/>
      <c r="O23" s="1148"/>
      <c r="P23" s="1148"/>
      <c r="Q23" s="1148"/>
      <c r="R23" s="1148"/>
      <c r="S23" s="1149"/>
      <c r="T23" s="1112"/>
      <c r="U23" s="1113"/>
      <c r="V23" s="1153"/>
      <c r="W23" s="1113"/>
      <c r="X23" s="1114"/>
      <c r="Y23" s="1120"/>
      <c r="Z23" s="1121"/>
      <c r="AA23" s="1121"/>
      <c r="AB23" s="1121"/>
      <c r="AC23" s="1122"/>
      <c r="AD23" s="1158"/>
      <c r="AE23" s="1129"/>
      <c r="AF23" s="1129"/>
      <c r="AG23" s="1129"/>
      <c r="AH23" s="1130"/>
      <c r="AI23" s="1162">
        <f>INDEX($I$11:$I$16,MATCH(AI20,$B$11:$B$16,0))</f>
        <v>2020</v>
      </c>
      <c r="AJ23" s="1163">
        <f t="shared" ref="AJ23:AM23" si="25">INDEX($I$11:$I$16,MATCH(AJ20,$B$11:$B$16,0))</f>
        <v>2020</v>
      </c>
      <c r="AK23" s="1163">
        <f t="shared" si="25"/>
        <v>2020</v>
      </c>
      <c r="AL23" s="1163">
        <f t="shared" si="25"/>
        <v>2020</v>
      </c>
      <c r="AM23" s="1164">
        <f t="shared" si="25"/>
        <v>2020</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26">ROUND(INDEX(COST_Cls2,$A24-($A$24-1),MATCH(B$20,TECHOPTS_Cls2,0)),2)</f>
        <v>136900</v>
      </c>
      <c r="C24" s="914">
        <f t="shared" si="26"/>
        <v>1000000</v>
      </c>
      <c r="D24" s="914">
        <f t="shared" si="26"/>
        <v>1000000</v>
      </c>
      <c r="E24" s="914">
        <f t="shared" si="26"/>
        <v>1000000</v>
      </c>
      <c r="F24" s="914">
        <f t="shared" si="26"/>
        <v>1000000</v>
      </c>
      <c r="G24" s="915">
        <f t="shared" si="26"/>
        <v>1000000</v>
      </c>
      <c r="H24" s="1078">
        <f t="shared" ref="H24:M33" si="27">IF(H$21="Single-fuel",1,1-MIN(INDEX(CDRANGE_CLS2,$A24-($A$24-1),MATCH(H$20,TECHOPTS_Cls2,0))*OPDAYS_Cls2/$D$6,1))</f>
        <v>1</v>
      </c>
      <c r="I24" s="1079">
        <f t="shared" si="27"/>
        <v>1</v>
      </c>
      <c r="J24" s="1079">
        <f t="shared" si="27"/>
        <v>1</v>
      </c>
      <c r="K24" s="1079">
        <f t="shared" si="27"/>
        <v>1</v>
      </c>
      <c r="L24" s="1079">
        <f t="shared" si="27"/>
        <v>1</v>
      </c>
      <c r="M24" s="1080">
        <f t="shared" si="27"/>
        <v>1</v>
      </c>
      <c r="N24" s="293">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10025.492290916767</v>
      </c>
      <c r="O24" s="294">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54969.80849481831</v>
      </c>
      <c r="P24" s="294">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54969.80849481831</v>
      </c>
      <c r="Q24" s="294">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54969.80849481831</v>
      </c>
      <c r="R24" s="294">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96">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93">
        <f t="shared" ref="T24:T67" si="34">$N24-O24+T$22</f>
        <v>-44944.316203901544</v>
      </c>
      <c r="U24" s="294">
        <f t="shared" ref="U24:U67" si="35">$N24-P24+U$22</f>
        <v>-44944.316203901544</v>
      </c>
      <c r="V24" s="294">
        <f t="shared" ref="V24:V67" si="36">$N24-Q24+V$22</f>
        <v>-44944.316203901544</v>
      </c>
      <c r="W24" s="294">
        <f t="shared" ref="W24:W67" si="37">$N24-R24+W$22</f>
        <v>-71615.874312146567</v>
      </c>
      <c r="X24" s="296">
        <f t="shared" ref="X24:X67" si="38">$N24-S24+X$22</f>
        <v>-180060.78886573424</v>
      </c>
      <c r="Y24" s="297">
        <f ca="1">IF(AND(Y$22=TRUE,INDEX(CDRANGE_CLS2,MATCH($A24,$A$24:$A$67,0),MATCH(Y$20,$B$20:$G$20,0))&lt;$D$6/OPDAYS_Cls2),86,payback(C24,T24,disc_rate/12,85))</f>
        <v>86</v>
      </c>
      <c r="Z24" s="298">
        <f ca="1">IF(AND(Z$22=TRUE,INDEX(CDRANGE_CLS2,MATCH($A24,$A$24:$A$67,0),MATCH(Z$20,$B$20:$G$20,0))&lt;$D$6/OPDAYS_Cls2),86,payback(D24,U24,disc_rate/12,85))</f>
        <v>86</v>
      </c>
      <c r="AA24" s="298">
        <f ca="1">IF(AND(AA$22=TRUE,INDEX(CDRANGE_CLS2,MATCH($A24,$A$24:$A$67,0),MATCH(AA$20,$B$20:$G$20,0))&lt;$D$6/OPDAYS_Cls2),86,payback(E24,V24,disc_rate/12,85))</f>
        <v>86</v>
      </c>
      <c r="AB24" s="298">
        <f>IF(AND(AB$22=TRUE,INDEX(CDRANGE_CLS2,MATCH($A24,$A$24:$A$67,0),MATCH(AB$20,$B$20:$G$20,0))&lt;$D$6/OPDAYS_Cls2),86,payback(F24,W24,disc_rate/12,85))</f>
        <v>86</v>
      </c>
      <c r="AC24" s="299">
        <f ca="1">IF(AND(AC$22=TRUE,INDEX(CDRANGE_CLS2,MATCH($A24,$A$24:$A$67,0),MATCH(AC$20,$B$20:$G$20,0))&lt;$D$6/OPDAYS_Cls2),86,payback(G24,X24,disc_rate/12,85))</f>
        <v>86</v>
      </c>
      <c r="AD24" s="300">
        <f t="shared" ref="AD24:AD67" si="39">IF(AND(C24&lt;=AD$21,$N24-O24&gt;=-AD$22),AI24*VLOOKUP(C24/AD$21,FirstCostInd,2,TRUE)*VLOOKUP(($N24-O24)/AD$22,FuelCostInd,2,1),0)</f>
        <v>0</v>
      </c>
      <c r="AE24" s="301">
        <f t="shared" ref="AE24:AE67" si="40">IF(AND(D24&lt;=AE$21,$N24-P24&gt;=-AE$22),AJ24*VLOOKUP(D24/AE$21,FirstCostInd,2,TRUE)*VLOOKUP(($N24-P24)/AE$22,FuelCostInd,2,1),0)</f>
        <v>0</v>
      </c>
      <c r="AF24" s="301">
        <f t="shared" ref="AF24:AF67" si="41">IF(AND(E24&lt;=AF$21,$N24-Q24&gt;=-AF$22),AK24*VLOOKUP(E24/AF$21,FirstCostInd,2,TRUE)*VLOOKUP(($N24-Q24)/AF$22,FuelCostInd,2,1),0)</f>
        <v>0</v>
      </c>
      <c r="AG24" s="301">
        <f t="shared" ref="AG24:AG67" si="42">IF(AND(F24&lt;=AG$21,$N24-R24&gt;=-AG$22),AL24*VLOOKUP(F24/AG$21,FirstCostInd,2,TRUE)*VLOOKUP(($N24-R24)/AG$22,FuelCostInd,2,1),0)</f>
        <v>0</v>
      </c>
      <c r="AH24" s="301">
        <f t="shared" ref="AH24:AH67" si="43">IF(AND(G24&lt;=AH$21,$N24-S24&gt;=-AH$22),AM24*VLOOKUP(G24/AH$21,FirstCostInd,2,TRUE)*VLOOKUP(($N24-S24)/AH$22,FuelCostInd,2,1),0)</f>
        <v>0</v>
      </c>
      <c r="AI24" s="303">
        <f t="shared" ref="AI24:AI67" si="44">IF($A24&lt;AI$23,0,AI$21+VLOOKUP($A24-AI$23,SCdata,2,1)*(AI$22-AI$21))*IF($D$5="Non-Central",INDEX(fuel_avail,$A24-$A$24+1,MATCH(O$21,Fuels,0)),1)</f>
        <v>0</v>
      </c>
      <c r="AJ24" s="304">
        <f t="shared" ref="AJ24:AJ67" si="45">IF($A24&lt;AJ$23,0,AJ$21+VLOOKUP($A24-AJ$23,SCdata,2,1)*(AJ$22-AJ$21))*IF($D$5="Non-Central",INDEX(fuel_avail,$A24-$A$24+1,MATCH(P$21,Fuels,0)),1)</f>
        <v>0</v>
      </c>
      <c r="AK24" s="304">
        <f t="shared" ref="AK24:AK67" si="46">IF($A24&lt;AK$23,0,AK$21+VLOOKUP($A24-AK$23,SCdata,2,1)*(AK$22-AK$21))*IF($D$5="Non-Central",INDEX(fuel_avail,$A24-$A$24+1,MATCH(Q$21,Fuels,0)),1)</f>
        <v>0</v>
      </c>
      <c r="AL24" s="304">
        <f t="shared" ref="AL24:AL67" si="47">IF($A24&lt;AL$23,0,AL$21+VLOOKUP($A24-AL$23,SCdata,2,1)*(AL$22-AL$21))*IF($D$5="Non-Central",INDEX(fuel_avail,$A24-$A$24+1,MATCH(R$21,Fuels,0)),1)</f>
        <v>0</v>
      </c>
      <c r="AM24" s="711">
        <f t="shared" ref="AM24:AM67" si="48">IF($A24&lt;AM$23,0,AM$21+VLOOKUP($A24-AM$23,SCdata,2,1)*(AM$22-AM$21))*IF($D$5="Non-Central",INDEX(fuel_avail,$A24-$A$24+1,MATCH(S$21,Fuels,0)),1)</f>
        <v>0</v>
      </c>
      <c r="AN24" s="303">
        <f>IF(C24&lt;0,1,$AQ$17*(1-WEIBULL(C24/$B24,$AO$17,$AO$18,1)))</f>
        <v>0</v>
      </c>
      <c r="AO24" s="304">
        <f t="shared" ref="AO24:AR39" si="49">IF(D24&lt;0,1,$AQ$17*(1-WEIBULL(D24/$B24,$AO$17,$AO$18,1)))</f>
        <v>0</v>
      </c>
      <c r="AP24" s="304">
        <f t="shared" si="49"/>
        <v>0</v>
      </c>
      <c r="AQ24" s="304">
        <f t="shared" si="49"/>
        <v>0</v>
      </c>
      <c r="AR24" s="305">
        <f t="shared" si="49"/>
        <v>0</v>
      </c>
      <c r="AS24" s="300">
        <f t="shared" ref="AS24:AS67" ca="1" si="50">MIN(1,MAX(AD24,IF(Y24&gt;85,0,(AI24/0.5)*VLOOKUP(Y24,AdoptDec,$AU$18,0))))</f>
        <v>0</v>
      </c>
      <c r="AT24" s="301">
        <f t="shared" ref="AT24:AT67" ca="1" si="51">MIN(1,MAX(AE24,IF(Z24&gt;85,0,(AJ24/0.5)*VLOOKUP(Z24,AdoptDec,$AU$18,0))))</f>
        <v>0</v>
      </c>
      <c r="AU24" s="301">
        <f t="shared" ref="AU24:AU67" ca="1" si="52">MIN(1,MAX(AF24,IF(AA24&gt;85,0,(AK24/0.5)*VLOOKUP(AA24,AdoptDec,$AU$18,0))))</f>
        <v>0</v>
      </c>
      <c r="AV24" s="301">
        <f t="shared" ref="AV24:AV67" si="53">MIN(1,MAX(AG24,IF(AB24&gt;85,0,(AL24/0.5)*VLOOKUP(AB24,AdoptDec,$AU$18,0))))</f>
        <v>0</v>
      </c>
      <c r="AW24" s="302">
        <f t="shared" ref="AW24:AW67" ca="1" si="54">MIN(1,MAX(AH24,IF(AC24&gt;85,0,(AM24/0.5)*VLOOKUP(AC24,AdoptDec,$AU$18,0))))</f>
        <v>0</v>
      </c>
      <c r="AX24" s="300">
        <f t="shared" ref="AX24:AX67" ca="1" si="55">MIN(AS24*AN24,1)</f>
        <v>0</v>
      </c>
      <c r="AY24" s="301">
        <f t="shared" ref="AY24:AY67" ca="1" si="56">MIN(AT24*AO24,1)</f>
        <v>0</v>
      </c>
      <c r="AZ24" s="301">
        <f t="shared" ref="AZ24:AZ67" ca="1" si="57">MIN(AU24*AP24,1)</f>
        <v>0</v>
      </c>
      <c r="BA24" s="301">
        <f t="shared" ref="BA24:BB24" si="58">MIN(AV24*AQ24,1)</f>
        <v>0</v>
      </c>
      <c r="BB24" s="302">
        <f t="shared" ca="1" si="58"/>
        <v>0</v>
      </c>
      <c r="BC24" s="300">
        <f ca="1">1-SUM(BD24:BH24)</f>
        <v>1</v>
      </c>
      <c r="BD24" s="301">
        <f ca="1">IF(SUM($AX24:$BB24)=0,0,MAX($AX24:$BB24)*(AI24*AX24/SUMPRODUCT($AI24:$AM24,$AX24:$BB24)))</f>
        <v>0</v>
      </c>
      <c r="BE24" s="301">
        <f t="shared" ref="BE24:BH24" ca="1" si="59">IF(SUM($AX24:$BB24)=0,0,MAX($AX24:$BB24)*(AJ24*AY24/SUMPRODUCT($AI24:$AM24,$AX24:$BB24)))</f>
        <v>0</v>
      </c>
      <c r="BF24" s="301">
        <f t="shared" ca="1" si="59"/>
        <v>0</v>
      </c>
      <c r="BG24" s="301">
        <f t="shared" ca="1" si="59"/>
        <v>0</v>
      </c>
      <c r="BH24" s="302">
        <f t="shared" ca="1" si="59"/>
        <v>0</v>
      </c>
    </row>
    <row r="25" spans="1:60" x14ac:dyDescent="0.2">
      <c r="A25" s="306">
        <v>2008</v>
      </c>
      <c r="B25" s="916">
        <f t="shared" si="26"/>
        <v>136900</v>
      </c>
      <c r="C25" s="917">
        <f t="shared" si="26"/>
        <v>1000000</v>
      </c>
      <c r="D25" s="917">
        <f t="shared" si="26"/>
        <v>1000000</v>
      </c>
      <c r="E25" s="917">
        <f t="shared" si="26"/>
        <v>1000000</v>
      </c>
      <c r="F25" s="917">
        <f t="shared" si="26"/>
        <v>1000000</v>
      </c>
      <c r="G25" s="918">
        <f t="shared" si="26"/>
        <v>1000000</v>
      </c>
      <c r="H25" s="1081">
        <f t="shared" si="27"/>
        <v>1</v>
      </c>
      <c r="I25" s="1082">
        <f t="shared" si="27"/>
        <v>1</v>
      </c>
      <c r="J25" s="1082">
        <f t="shared" si="27"/>
        <v>1</v>
      </c>
      <c r="K25" s="1082">
        <f t="shared" si="27"/>
        <v>1</v>
      </c>
      <c r="L25" s="1082">
        <f t="shared" si="27"/>
        <v>1</v>
      </c>
      <c r="M25" s="1083">
        <f t="shared" si="27"/>
        <v>1</v>
      </c>
      <c r="N25" s="307">
        <f t="shared" si="28"/>
        <v>14000.783862248185</v>
      </c>
      <c r="O25" s="308">
        <f t="shared" si="29"/>
        <v>76766.345766622559</v>
      </c>
      <c r="P25" s="308">
        <f t="shared" si="30"/>
        <v>76766.345766622559</v>
      </c>
      <c r="Q25" s="308">
        <f t="shared" si="31"/>
        <v>76766.345766622559</v>
      </c>
      <c r="R25" s="308">
        <f t="shared" si="32"/>
        <v>106035.83510663376</v>
      </c>
      <c r="S25" s="310">
        <f t="shared" si="33"/>
        <v>190086.28115665101</v>
      </c>
      <c r="T25" s="307">
        <f t="shared" si="34"/>
        <v>-62765.561904374372</v>
      </c>
      <c r="U25" s="308">
        <f t="shared" si="35"/>
        <v>-62765.561904374372</v>
      </c>
      <c r="V25" s="308">
        <f t="shared" si="36"/>
        <v>-62765.561904374372</v>
      </c>
      <c r="W25" s="308">
        <f t="shared" si="37"/>
        <v>-92035.051244385584</v>
      </c>
      <c r="X25" s="310">
        <f t="shared" si="38"/>
        <v>-176085.49729440283</v>
      </c>
      <c r="Y25" s="311">
        <f ca="1">IF(AND(Y$22=TRUE,INDEX(CDRANGE_CLS2,MATCH($A25,$A$24:$A$67,0),MATCH(Y$20,$B$20:$G$20,0))&lt;$D$6/OPDAYS_Cls2),86,payback(C25,T25,disc_rate/12,85))</f>
        <v>86</v>
      </c>
      <c r="Z25" s="312">
        <f ca="1">IF(AND(Z$22=TRUE,INDEX(CDRANGE_CLS2,MATCH($A25,$A$24:$A$67,0),MATCH(Z$20,$B$20:$G$20,0))&lt;$D$6/OPDAYS_Cls2),86,payback(D25,U25,disc_rate/12,85))</f>
        <v>86</v>
      </c>
      <c r="AA25" s="312">
        <f ca="1">IF(AND(AA$22=TRUE,INDEX(CDRANGE_CLS2,MATCH($A25,$A$24:$A$67,0),MATCH(AA$20,$B$20:$G$20,0))&lt;$D$6/OPDAYS_Cls2),86,payback(E25,V25,disc_rate/12,85))</f>
        <v>86</v>
      </c>
      <c r="AB25" s="312">
        <f>IF(AND(AB$22=TRUE,INDEX(CDRANGE_CLS2,MATCH($A25,$A$24:$A$67,0),MATCH(AB$20,$B$20:$G$20,0))&lt;$D$6/OPDAYS_Cls2),86,payback(F25,W25,disc_rate/12,85))</f>
        <v>86</v>
      </c>
      <c r="AC25" s="313">
        <f ca="1">IF(AND(AC$22=TRUE,INDEX(CDRANGE_CLS2,MATCH($A25,$A$24:$A$67,0),MATCH(AC$20,$B$20:$G$20,0))&lt;$D$6/OPDAYS_Cls2),86,payback(G25,X25,disc_rate/12,85))</f>
        <v>86</v>
      </c>
      <c r="AD25" s="314">
        <f t="shared" si="39"/>
        <v>0</v>
      </c>
      <c r="AE25" s="315">
        <f t="shared" si="40"/>
        <v>0</v>
      </c>
      <c r="AF25" s="315">
        <f t="shared" si="41"/>
        <v>0</v>
      </c>
      <c r="AG25" s="315">
        <f t="shared" si="42"/>
        <v>0</v>
      </c>
      <c r="AH25" s="316">
        <f t="shared" si="43"/>
        <v>0</v>
      </c>
      <c r="AI25" s="317">
        <f t="shared" si="44"/>
        <v>0</v>
      </c>
      <c r="AJ25" s="318">
        <f t="shared" si="45"/>
        <v>0</v>
      </c>
      <c r="AK25" s="318">
        <f t="shared" si="46"/>
        <v>0</v>
      </c>
      <c r="AL25" s="318">
        <f t="shared" si="47"/>
        <v>0</v>
      </c>
      <c r="AM25" s="698">
        <f t="shared" si="48"/>
        <v>0</v>
      </c>
      <c r="AN25" s="317">
        <f t="shared" ref="AN25:AR67" si="60">IF(C25&lt;0,1,$AQ$17*(1-WEIBULL(C25/$B25,$AO$17,$AO$18,1)))</f>
        <v>0</v>
      </c>
      <c r="AO25" s="318">
        <f t="shared" si="49"/>
        <v>0</v>
      </c>
      <c r="AP25" s="318">
        <f t="shared" si="49"/>
        <v>0</v>
      </c>
      <c r="AQ25" s="318">
        <f t="shared" si="49"/>
        <v>0</v>
      </c>
      <c r="AR25" s="319">
        <f t="shared" si="49"/>
        <v>0</v>
      </c>
      <c r="AS25" s="300">
        <f t="shared" ca="1" si="50"/>
        <v>0</v>
      </c>
      <c r="AT25" s="301">
        <f t="shared" ca="1" si="51"/>
        <v>0</v>
      </c>
      <c r="AU25" s="301">
        <f t="shared" ca="1" si="52"/>
        <v>0</v>
      </c>
      <c r="AV25" s="301">
        <f t="shared" si="53"/>
        <v>0</v>
      </c>
      <c r="AW25" s="302">
        <f t="shared" ca="1" si="54"/>
        <v>0</v>
      </c>
      <c r="AX25" s="314">
        <f t="shared" ca="1" si="55"/>
        <v>0</v>
      </c>
      <c r="AY25" s="315">
        <f t="shared" ca="1" si="56"/>
        <v>0</v>
      </c>
      <c r="AZ25" s="315">
        <f t="shared" ca="1" si="57"/>
        <v>0</v>
      </c>
      <c r="BA25" s="301">
        <f t="shared" ref="BA25:BA67" si="61">MIN(AV25*AQ25,1)</f>
        <v>0</v>
      </c>
      <c r="BB25" s="302">
        <f t="shared" ref="BB25:BB67" ca="1" si="62">MIN(AW25*AR25,1)</f>
        <v>0</v>
      </c>
      <c r="BC25" s="300">
        <f t="shared" ref="BC25:BC67" ca="1" si="63">1-SUM(BD25:BH25)</f>
        <v>1</v>
      </c>
      <c r="BD25" s="301">
        <f t="shared" ref="BD25:BD67" ca="1" si="64">IF(SUM($AX25:$BB25)=0,0,MAX($AX25:$BB25)*(AI25*AX25/SUMPRODUCT($AI25:$AM25,$AX25:$BB25)))</f>
        <v>0</v>
      </c>
      <c r="BE25" s="301">
        <f t="shared" ref="BE25:BE67" ca="1" si="65">IF(SUM($AX25:$BB25)=0,0,MAX($AX25:$BB25)*(AJ25*AY25/SUMPRODUCT($AI25:$AM25,$AX25:$BB25)))</f>
        <v>0</v>
      </c>
      <c r="BF25" s="301">
        <f t="shared" ref="BF25:BF67" ca="1" si="66">IF(SUM($AX25:$BB25)=0,0,MAX($AX25:$BB25)*(AK25*AZ25/SUMPRODUCT($AI25:$AM25,$AX25:$BB25)))</f>
        <v>0</v>
      </c>
      <c r="BG25" s="301">
        <f t="shared" ref="BG25:BG67" ca="1" si="67">IF(SUM($AX25:$BB25)=0,0,MAX($AX25:$BB25)*(AL25*BA25/SUMPRODUCT($AI25:$AM25,$AX25:$BB25)))</f>
        <v>0</v>
      </c>
      <c r="BH25" s="302">
        <f t="shared" ref="BH25:BH67" ca="1" si="68">IF(SUM($AX25:$BB25)=0,0,MAX($AX25:$BB25)*(AM25*BB25/SUMPRODUCT($AI25:$AM25,$AX25:$BB25)))</f>
        <v>0</v>
      </c>
    </row>
    <row r="26" spans="1:60" x14ac:dyDescent="0.2">
      <c r="A26" s="306">
        <v>2009</v>
      </c>
      <c r="B26" s="916">
        <f t="shared" si="26"/>
        <v>136900</v>
      </c>
      <c r="C26" s="917">
        <f t="shared" si="26"/>
        <v>1000000</v>
      </c>
      <c r="D26" s="917">
        <f t="shared" si="26"/>
        <v>1000000</v>
      </c>
      <c r="E26" s="917">
        <f t="shared" si="26"/>
        <v>1000000</v>
      </c>
      <c r="F26" s="917">
        <f t="shared" si="26"/>
        <v>1000000</v>
      </c>
      <c r="G26" s="918">
        <f t="shared" si="26"/>
        <v>1000000</v>
      </c>
      <c r="H26" s="1081">
        <f t="shared" si="27"/>
        <v>1</v>
      </c>
      <c r="I26" s="1082">
        <f t="shared" si="27"/>
        <v>1</v>
      </c>
      <c r="J26" s="1082">
        <f t="shared" si="27"/>
        <v>1</v>
      </c>
      <c r="K26" s="1082">
        <f t="shared" si="27"/>
        <v>1</v>
      </c>
      <c r="L26" s="1082">
        <f t="shared" si="27"/>
        <v>1</v>
      </c>
      <c r="M26" s="1083">
        <f t="shared" si="27"/>
        <v>1</v>
      </c>
      <c r="N26" s="307">
        <f t="shared" si="28"/>
        <v>9002.7407254652571</v>
      </c>
      <c r="O26" s="308">
        <f t="shared" si="29"/>
        <v>49362.058166030802</v>
      </c>
      <c r="P26" s="308">
        <f t="shared" si="30"/>
        <v>49362.058166030802</v>
      </c>
      <c r="Q26" s="308">
        <f t="shared" si="31"/>
        <v>49362.058166030802</v>
      </c>
      <c r="R26" s="308">
        <f t="shared" si="32"/>
        <v>158900.24876873204</v>
      </c>
      <c r="S26" s="310">
        <f t="shared" si="33"/>
        <v>190086.28115665101</v>
      </c>
      <c r="T26" s="307">
        <f t="shared" si="34"/>
        <v>-40359.317440565545</v>
      </c>
      <c r="U26" s="308">
        <f t="shared" si="35"/>
        <v>-40359.317440565545</v>
      </c>
      <c r="V26" s="308">
        <f t="shared" si="36"/>
        <v>-40359.317440565545</v>
      </c>
      <c r="W26" s="308">
        <f t="shared" si="37"/>
        <v>-149897.50804326677</v>
      </c>
      <c r="X26" s="310">
        <f t="shared" si="38"/>
        <v>-181083.54043118574</v>
      </c>
      <c r="Y26" s="311">
        <f ca="1">IF(AND(Y$22=TRUE,INDEX(CDRANGE_CLS2,MATCH($A26,$A$24:$A$67,0),MATCH(Y$20,$B$20:$G$20,0))&lt;$D$6/OPDAYS_Cls2),86,payback(C26,T26,disc_rate/12,85))</f>
        <v>86</v>
      </c>
      <c r="Z26" s="312">
        <f ca="1">IF(AND(Z$22=TRUE,INDEX(CDRANGE_CLS2,MATCH($A26,$A$24:$A$67,0),MATCH(Z$20,$B$20:$G$20,0))&lt;$D$6/OPDAYS_Cls2),86,payback(D26,U26,disc_rate/12,85))</f>
        <v>86</v>
      </c>
      <c r="AA26" s="312">
        <f ca="1">IF(AND(AA$22=TRUE,INDEX(CDRANGE_CLS2,MATCH($A26,$A$24:$A$67,0),MATCH(AA$20,$B$20:$G$20,0))&lt;$D$6/OPDAYS_Cls2),86,payback(E26,V26,disc_rate/12,85))</f>
        <v>86</v>
      </c>
      <c r="AB26" s="312">
        <f>IF(AND(AB$22=TRUE,INDEX(CDRANGE_CLS2,MATCH($A26,$A$24:$A$67,0),MATCH(AB$20,$B$20:$G$20,0))&lt;$D$6/OPDAYS_Cls2),86,payback(F26,W26,disc_rate/12,85))</f>
        <v>86</v>
      </c>
      <c r="AC26" s="313">
        <f ca="1">IF(AND(AC$22=TRUE,INDEX(CDRANGE_CLS2,MATCH($A26,$A$24:$A$67,0),MATCH(AC$20,$B$20:$G$20,0))&lt;$D$6/OPDAYS_Cls2),86,payback(G26,X26,disc_rate/12,85))</f>
        <v>86</v>
      </c>
      <c r="AD26" s="314">
        <f t="shared" si="39"/>
        <v>0</v>
      </c>
      <c r="AE26" s="315">
        <f t="shared" si="40"/>
        <v>0</v>
      </c>
      <c r="AF26" s="315">
        <f t="shared" si="41"/>
        <v>0</v>
      </c>
      <c r="AG26" s="315">
        <f t="shared" si="42"/>
        <v>0</v>
      </c>
      <c r="AH26" s="316">
        <f t="shared" si="43"/>
        <v>0</v>
      </c>
      <c r="AI26" s="317">
        <f t="shared" si="44"/>
        <v>0</v>
      </c>
      <c r="AJ26" s="318">
        <f t="shared" si="45"/>
        <v>0</v>
      </c>
      <c r="AK26" s="318">
        <f t="shared" si="46"/>
        <v>0</v>
      </c>
      <c r="AL26" s="318">
        <f t="shared" si="47"/>
        <v>0</v>
      </c>
      <c r="AM26" s="698">
        <f t="shared" si="48"/>
        <v>0</v>
      </c>
      <c r="AN26" s="317">
        <f t="shared" si="60"/>
        <v>0</v>
      </c>
      <c r="AO26" s="318">
        <f t="shared" si="49"/>
        <v>0</v>
      </c>
      <c r="AP26" s="318">
        <f t="shared" si="49"/>
        <v>0</v>
      </c>
      <c r="AQ26" s="318">
        <f t="shared" si="49"/>
        <v>0</v>
      </c>
      <c r="AR26" s="319">
        <f t="shared" si="49"/>
        <v>0</v>
      </c>
      <c r="AS26" s="300">
        <f t="shared" ca="1" si="50"/>
        <v>0</v>
      </c>
      <c r="AT26" s="301">
        <f t="shared" ca="1" si="51"/>
        <v>0</v>
      </c>
      <c r="AU26" s="301">
        <f t="shared" ca="1" si="52"/>
        <v>0</v>
      </c>
      <c r="AV26" s="301">
        <f t="shared" si="53"/>
        <v>0</v>
      </c>
      <c r="AW26" s="302">
        <f t="shared" ca="1" si="54"/>
        <v>0</v>
      </c>
      <c r="AX26" s="314">
        <f t="shared" ca="1" si="55"/>
        <v>0</v>
      </c>
      <c r="AY26" s="315">
        <f t="shared" ca="1" si="56"/>
        <v>0</v>
      </c>
      <c r="AZ26" s="315">
        <f t="shared" ca="1" si="57"/>
        <v>0</v>
      </c>
      <c r="BA26" s="301">
        <f t="shared" si="61"/>
        <v>0</v>
      </c>
      <c r="BB26" s="302">
        <f t="shared" ca="1" si="62"/>
        <v>0</v>
      </c>
      <c r="BC26" s="300">
        <f t="shared" ca="1" si="63"/>
        <v>1</v>
      </c>
      <c r="BD26" s="301">
        <f t="shared" ca="1" si="64"/>
        <v>0</v>
      </c>
      <c r="BE26" s="301">
        <f t="shared" ca="1" si="65"/>
        <v>0</v>
      </c>
      <c r="BF26" s="301">
        <f t="shared" ca="1" si="66"/>
        <v>0</v>
      </c>
      <c r="BG26" s="301">
        <f t="shared" ca="1" si="67"/>
        <v>0</v>
      </c>
      <c r="BH26" s="302">
        <f t="shared" ca="1" si="68"/>
        <v>0</v>
      </c>
    </row>
    <row r="27" spans="1:60" ht="13.5" thickBot="1" x14ac:dyDescent="0.25">
      <c r="A27" s="320">
        <v>2010</v>
      </c>
      <c r="B27" s="919">
        <f t="shared" si="26"/>
        <v>136900</v>
      </c>
      <c r="C27" s="920">
        <f t="shared" si="26"/>
        <v>1000000</v>
      </c>
      <c r="D27" s="920">
        <f t="shared" si="26"/>
        <v>1000000</v>
      </c>
      <c r="E27" s="920">
        <f t="shared" si="26"/>
        <v>1000000</v>
      </c>
      <c r="F27" s="920">
        <f t="shared" si="26"/>
        <v>1000000</v>
      </c>
      <c r="G27" s="921">
        <f t="shared" si="26"/>
        <v>1000000</v>
      </c>
      <c r="H27" s="1084">
        <f t="shared" si="27"/>
        <v>1</v>
      </c>
      <c r="I27" s="1085">
        <f t="shared" si="27"/>
        <v>1</v>
      </c>
      <c r="J27" s="1085">
        <f t="shared" si="27"/>
        <v>1</v>
      </c>
      <c r="K27" s="1085">
        <f t="shared" si="27"/>
        <v>1</v>
      </c>
      <c r="L27" s="1085">
        <f t="shared" si="27"/>
        <v>1</v>
      </c>
      <c r="M27" s="1086">
        <f t="shared" si="27"/>
        <v>1</v>
      </c>
      <c r="N27" s="321">
        <f t="shared" si="28"/>
        <v>10791.872875676681</v>
      </c>
      <c r="O27" s="322">
        <f t="shared" si="29"/>
        <v>59177.116102734311</v>
      </c>
      <c r="P27" s="322">
        <f t="shared" si="30"/>
        <v>59177.116102734311</v>
      </c>
      <c r="Q27" s="322">
        <f t="shared" si="31"/>
        <v>59177.116102734311</v>
      </c>
      <c r="R27" s="322">
        <f t="shared" si="32"/>
        <v>114275.45716195549</v>
      </c>
      <c r="S27" s="324">
        <f t="shared" si="33"/>
        <v>190086.28115665101</v>
      </c>
      <c r="T27" s="321">
        <f t="shared" si="34"/>
        <v>-48385.243227057632</v>
      </c>
      <c r="U27" s="322">
        <f t="shared" si="35"/>
        <v>-48385.243227057632</v>
      </c>
      <c r="V27" s="322">
        <f t="shared" si="36"/>
        <v>-48385.243227057632</v>
      </c>
      <c r="W27" s="322">
        <f t="shared" si="37"/>
        <v>-103483.58428627881</v>
      </c>
      <c r="X27" s="324">
        <f t="shared" si="38"/>
        <v>-179294.40828097431</v>
      </c>
      <c r="Y27" s="325">
        <f ca="1">IF(AND(Y$22=TRUE,INDEX(CDRANGE_CLS2,MATCH($A27,$A$24:$A$67,0),MATCH(Y$20,$B$20:$G$20,0))&lt;$D$6/OPDAYS_Cls2),86,payback(C27,T27,disc_rate/12,85))</f>
        <v>86</v>
      </c>
      <c r="Z27" s="326">
        <f ca="1">IF(AND(Z$22=TRUE,INDEX(CDRANGE_CLS2,MATCH($A27,$A$24:$A$67,0),MATCH(Z$20,$B$20:$G$20,0))&lt;$D$6/OPDAYS_Cls2),86,payback(D27,U27,disc_rate/12,85))</f>
        <v>86</v>
      </c>
      <c r="AA27" s="326">
        <f ca="1">IF(AND(AA$22=TRUE,INDEX(CDRANGE_CLS2,MATCH($A27,$A$24:$A$67,0),MATCH(AA$20,$B$20:$G$20,0))&lt;$D$6/OPDAYS_Cls2),86,payback(E27,V27,disc_rate/12,85))</f>
        <v>86</v>
      </c>
      <c r="AB27" s="326">
        <f>IF(AND(AB$22=TRUE,INDEX(CDRANGE_CLS2,MATCH($A27,$A$24:$A$67,0),MATCH(AB$20,$B$20:$G$20,0))&lt;$D$6/OPDAYS_Cls2),86,payback(F27,W27,disc_rate/12,85))</f>
        <v>86</v>
      </c>
      <c r="AC27" s="327">
        <f ca="1">IF(AND(AC$22=TRUE,INDEX(CDRANGE_CLS2,MATCH($A27,$A$24:$A$67,0),MATCH(AC$20,$B$20:$G$20,0))&lt;$D$6/OPDAYS_Cls2),86,payback(G27,X27,disc_rate/12,85))</f>
        <v>86</v>
      </c>
      <c r="AD27" s="328">
        <f t="shared" si="39"/>
        <v>0</v>
      </c>
      <c r="AE27" s="329">
        <f t="shared" si="40"/>
        <v>0</v>
      </c>
      <c r="AF27" s="329">
        <f t="shared" si="41"/>
        <v>0</v>
      </c>
      <c r="AG27" s="329">
        <f t="shared" si="42"/>
        <v>0</v>
      </c>
      <c r="AH27" s="330">
        <f t="shared" si="43"/>
        <v>0</v>
      </c>
      <c r="AI27" s="331">
        <f t="shared" si="44"/>
        <v>0</v>
      </c>
      <c r="AJ27" s="332">
        <f t="shared" si="45"/>
        <v>0</v>
      </c>
      <c r="AK27" s="332">
        <f t="shared" si="46"/>
        <v>0</v>
      </c>
      <c r="AL27" s="332">
        <f t="shared" si="47"/>
        <v>0</v>
      </c>
      <c r="AM27" s="699">
        <f t="shared" si="48"/>
        <v>0</v>
      </c>
      <c r="AN27" s="331">
        <f t="shared" si="60"/>
        <v>0</v>
      </c>
      <c r="AO27" s="332">
        <f t="shared" si="49"/>
        <v>0</v>
      </c>
      <c r="AP27" s="332">
        <f t="shared" si="49"/>
        <v>0</v>
      </c>
      <c r="AQ27" s="332">
        <f t="shared" si="49"/>
        <v>0</v>
      </c>
      <c r="AR27" s="333">
        <f t="shared" si="49"/>
        <v>0</v>
      </c>
      <c r="AS27" s="337">
        <f t="shared" ca="1" si="50"/>
        <v>0</v>
      </c>
      <c r="AT27" s="338">
        <f t="shared" ca="1" si="51"/>
        <v>0</v>
      </c>
      <c r="AU27" s="338">
        <f t="shared" ca="1" si="52"/>
        <v>0</v>
      </c>
      <c r="AV27" s="338">
        <f t="shared" si="53"/>
        <v>0</v>
      </c>
      <c r="AW27" s="339">
        <f t="shared" ca="1" si="54"/>
        <v>0</v>
      </c>
      <c r="AX27" s="328">
        <f t="shared" ca="1" si="55"/>
        <v>0</v>
      </c>
      <c r="AY27" s="329">
        <f t="shared" ca="1" si="56"/>
        <v>0</v>
      </c>
      <c r="AZ27" s="329">
        <f t="shared" ca="1" si="57"/>
        <v>0</v>
      </c>
      <c r="BA27" s="329">
        <f t="shared" si="61"/>
        <v>0</v>
      </c>
      <c r="BB27" s="330">
        <f t="shared" ca="1" si="62"/>
        <v>0</v>
      </c>
      <c r="BC27" s="328">
        <f t="shared" ca="1" si="63"/>
        <v>1</v>
      </c>
      <c r="BD27" s="329">
        <f t="shared" ca="1" si="64"/>
        <v>0</v>
      </c>
      <c r="BE27" s="329">
        <f t="shared" ca="1" si="65"/>
        <v>0</v>
      </c>
      <c r="BF27" s="329">
        <f t="shared" ca="1" si="66"/>
        <v>0</v>
      </c>
      <c r="BG27" s="329">
        <f t="shared" ca="1" si="67"/>
        <v>0</v>
      </c>
      <c r="BH27" s="330">
        <f t="shared" ca="1" si="68"/>
        <v>0</v>
      </c>
    </row>
    <row r="28" spans="1:60" x14ac:dyDescent="0.2">
      <c r="A28" s="334">
        <v>2011</v>
      </c>
      <c r="B28" s="922">
        <f t="shared" si="26"/>
        <v>136900</v>
      </c>
      <c r="C28" s="923">
        <f t="shared" si="26"/>
        <v>1000000</v>
      </c>
      <c r="D28" s="923">
        <f t="shared" si="26"/>
        <v>1000000</v>
      </c>
      <c r="E28" s="923">
        <f t="shared" si="26"/>
        <v>1000000</v>
      </c>
      <c r="F28" s="923">
        <f t="shared" si="26"/>
        <v>1000000</v>
      </c>
      <c r="G28" s="924">
        <f t="shared" si="26"/>
        <v>1000000</v>
      </c>
      <c r="H28" s="1087">
        <f t="shared" si="27"/>
        <v>1</v>
      </c>
      <c r="I28" s="1088">
        <f t="shared" si="27"/>
        <v>1</v>
      </c>
      <c r="J28" s="1088">
        <f t="shared" si="27"/>
        <v>1</v>
      </c>
      <c r="K28" s="1088">
        <f t="shared" si="27"/>
        <v>1</v>
      </c>
      <c r="L28" s="1088">
        <f t="shared" si="27"/>
        <v>1</v>
      </c>
      <c r="M28" s="1089">
        <f t="shared" si="27"/>
        <v>1</v>
      </c>
      <c r="N28" s="293">
        <f t="shared" si="28"/>
        <v>13287.631825386627</v>
      </c>
      <c r="O28" s="294">
        <f t="shared" si="29"/>
        <v>74428.645402407434</v>
      </c>
      <c r="P28" s="294">
        <f t="shared" si="30"/>
        <v>74428.645402407434</v>
      </c>
      <c r="Q28" s="294">
        <f t="shared" si="31"/>
        <v>74428.645402407434</v>
      </c>
      <c r="R28" s="294">
        <f t="shared" si="32"/>
        <v>90275.440726440633</v>
      </c>
      <c r="S28" s="296">
        <f t="shared" si="33"/>
        <v>190086.28115665101</v>
      </c>
      <c r="T28" s="293">
        <f t="shared" si="34"/>
        <v>-61141.013577020807</v>
      </c>
      <c r="U28" s="294">
        <f t="shared" si="35"/>
        <v>-61141.013577020807</v>
      </c>
      <c r="V28" s="294">
        <f t="shared" si="36"/>
        <v>-61141.013577020807</v>
      </c>
      <c r="W28" s="294">
        <f t="shared" si="37"/>
        <v>-76987.808901053999</v>
      </c>
      <c r="X28" s="296">
        <f t="shared" si="38"/>
        <v>-176798.64933126437</v>
      </c>
      <c r="Y28" s="297">
        <f ca="1">IF(AND(Y$22=TRUE,INDEX(CDRANGE_CLS2,MATCH($A28,$A$24:$A$67,0),MATCH(Y$20,$B$20:$G$20,0))&lt;$D$6/OPDAYS_Cls2),86,payback(C28,T28,disc_rate/12,85))</f>
        <v>86</v>
      </c>
      <c r="Z28" s="298">
        <f ca="1">IF(AND(Z$22=TRUE,INDEX(CDRANGE_CLS2,MATCH($A28,$A$24:$A$67,0),MATCH(Z$20,$B$20:$G$20,0))&lt;$D$6/OPDAYS_Cls2),86,payback(D28,U28,disc_rate/12,85))</f>
        <v>86</v>
      </c>
      <c r="AA28" s="298">
        <f ca="1">IF(AND(AA$22=TRUE,INDEX(CDRANGE_CLS2,MATCH($A28,$A$24:$A$67,0),MATCH(AA$20,$B$20:$G$20,0))&lt;$D$6/OPDAYS_Cls2),86,payback(E28,V28,disc_rate/12,85))</f>
        <v>86</v>
      </c>
      <c r="AB28" s="298">
        <f>IF(AND(AB$22=TRUE,INDEX(CDRANGE_CLS2,MATCH($A28,$A$24:$A$67,0),MATCH(AB$20,$B$20:$G$20,0))&lt;$D$6/OPDAYS_Cls2),86,payback(F28,W28,disc_rate/12,85))</f>
        <v>86</v>
      </c>
      <c r="AC28" s="299">
        <f ca="1">IF(AND(AC$22=TRUE,INDEX(CDRANGE_CLS2,MATCH($A28,$A$24:$A$67,0),MATCH(AC$20,$B$20:$G$20,0))&lt;$D$6/OPDAYS_Cls2),86,payback(G28,X28,disc_rate/12,85))</f>
        <v>86</v>
      </c>
      <c r="AD28" s="300">
        <f t="shared" si="39"/>
        <v>0</v>
      </c>
      <c r="AE28" s="301">
        <f t="shared" si="40"/>
        <v>0</v>
      </c>
      <c r="AF28" s="301">
        <f t="shared" si="41"/>
        <v>0</v>
      </c>
      <c r="AG28" s="301">
        <f t="shared" si="42"/>
        <v>0</v>
      </c>
      <c r="AH28" s="302">
        <f t="shared" si="43"/>
        <v>0</v>
      </c>
      <c r="AI28" s="303">
        <f t="shared" si="44"/>
        <v>0</v>
      </c>
      <c r="AJ28" s="304">
        <f t="shared" si="45"/>
        <v>0</v>
      </c>
      <c r="AK28" s="304">
        <f t="shared" si="46"/>
        <v>0</v>
      </c>
      <c r="AL28" s="304">
        <f t="shared" si="47"/>
        <v>0</v>
      </c>
      <c r="AM28" s="305">
        <f t="shared" si="48"/>
        <v>0</v>
      </c>
      <c r="AN28" s="743">
        <f t="shared" si="60"/>
        <v>0</v>
      </c>
      <c r="AO28" s="741">
        <f t="shared" si="49"/>
        <v>0</v>
      </c>
      <c r="AP28" s="741">
        <f t="shared" si="49"/>
        <v>0</v>
      </c>
      <c r="AQ28" s="741">
        <f t="shared" si="49"/>
        <v>0</v>
      </c>
      <c r="AR28" s="742">
        <f t="shared" si="49"/>
        <v>0</v>
      </c>
      <c r="AS28" s="300">
        <f t="shared" ca="1" si="50"/>
        <v>0</v>
      </c>
      <c r="AT28" s="301">
        <f t="shared" ca="1" si="51"/>
        <v>0</v>
      </c>
      <c r="AU28" s="301">
        <f t="shared" ca="1" si="52"/>
        <v>0</v>
      </c>
      <c r="AV28" s="301">
        <f t="shared" si="53"/>
        <v>0</v>
      </c>
      <c r="AW28" s="302">
        <f t="shared" ca="1" si="54"/>
        <v>0</v>
      </c>
      <c r="AX28" s="300">
        <f t="shared" ca="1" si="55"/>
        <v>0</v>
      </c>
      <c r="AY28" s="301">
        <f t="shared" ca="1" si="56"/>
        <v>0</v>
      </c>
      <c r="AZ28" s="301">
        <f t="shared" ca="1" si="57"/>
        <v>0</v>
      </c>
      <c r="BA28" s="301">
        <f t="shared" si="61"/>
        <v>0</v>
      </c>
      <c r="BB28" s="302">
        <f t="shared" ca="1" si="62"/>
        <v>0</v>
      </c>
      <c r="BC28" s="300">
        <f t="shared" ca="1" si="63"/>
        <v>1</v>
      </c>
      <c r="BD28" s="301">
        <f t="shared" ca="1" si="64"/>
        <v>0</v>
      </c>
      <c r="BE28" s="301">
        <f t="shared" ca="1" si="65"/>
        <v>0</v>
      </c>
      <c r="BF28" s="301">
        <f t="shared" ca="1" si="66"/>
        <v>0</v>
      </c>
      <c r="BG28" s="301">
        <f t="shared" ca="1" si="67"/>
        <v>0</v>
      </c>
      <c r="BH28" s="302">
        <f t="shared" ca="1" si="68"/>
        <v>0</v>
      </c>
    </row>
    <row r="29" spans="1:60" x14ac:dyDescent="0.2">
      <c r="A29" s="335">
        <v>2012</v>
      </c>
      <c r="B29" s="925">
        <f t="shared" si="26"/>
        <v>136900</v>
      </c>
      <c r="C29" s="926">
        <f t="shared" si="26"/>
        <v>1000000</v>
      </c>
      <c r="D29" s="926">
        <f t="shared" si="26"/>
        <v>1000000</v>
      </c>
      <c r="E29" s="926">
        <f t="shared" si="26"/>
        <v>1000000</v>
      </c>
      <c r="F29" s="926">
        <f t="shared" si="26"/>
        <v>1000000</v>
      </c>
      <c r="G29" s="927">
        <f t="shared" si="26"/>
        <v>1000000</v>
      </c>
      <c r="H29" s="1090">
        <f t="shared" si="27"/>
        <v>1</v>
      </c>
      <c r="I29" s="1091">
        <f t="shared" si="27"/>
        <v>1</v>
      </c>
      <c r="J29" s="1091">
        <f t="shared" si="27"/>
        <v>1</v>
      </c>
      <c r="K29" s="1091">
        <f t="shared" si="27"/>
        <v>1</v>
      </c>
      <c r="L29" s="1091">
        <f t="shared" si="27"/>
        <v>1</v>
      </c>
      <c r="M29" s="1092">
        <f t="shared" si="27"/>
        <v>1</v>
      </c>
      <c r="N29" s="307">
        <f t="shared" si="28"/>
        <v>13379.758146183665</v>
      </c>
      <c r="O29" s="308">
        <f t="shared" si="29"/>
        <v>75544.607849995838</v>
      </c>
      <c r="P29" s="308">
        <f t="shared" si="30"/>
        <v>75544.607849995838</v>
      </c>
      <c r="Q29" s="308">
        <f t="shared" si="31"/>
        <v>75544.607849995838</v>
      </c>
      <c r="R29" s="308">
        <f t="shared" si="32"/>
        <v>77163.644703686878</v>
      </c>
      <c r="S29" s="310">
        <f t="shared" si="33"/>
        <v>190086.28115665101</v>
      </c>
      <c r="T29" s="307">
        <f t="shared" si="34"/>
        <v>-62164.849703812171</v>
      </c>
      <c r="U29" s="308">
        <f t="shared" si="35"/>
        <v>-62164.849703812171</v>
      </c>
      <c r="V29" s="308">
        <f t="shared" si="36"/>
        <v>-62164.849703812171</v>
      </c>
      <c r="W29" s="308">
        <f t="shared" si="37"/>
        <v>-63783.88655750321</v>
      </c>
      <c r="X29" s="310">
        <f t="shared" si="38"/>
        <v>-176706.52301046735</v>
      </c>
      <c r="Y29" s="311">
        <f ca="1">IF(AND(Y$22=TRUE,INDEX(CDRANGE_CLS2,MATCH($A29,$A$24:$A$67,0),MATCH(Y$20,$B$20:$G$20,0))&lt;$D$6/OPDAYS_Cls2),86,payback(C29,T29,disc_rate/12,85))</f>
        <v>86</v>
      </c>
      <c r="Z29" s="312">
        <f ca="1">IF(AND(Z$22=TRUE,INDEX(CDRANGE_CLS2,MATCH($A29,$A$24:$A$67,0),MATCH(Z$20,$B$20:$G$20,0))&lt;$D$6/OPDAYS_Cls2),86,payback(D29,U29,disc_rate/12,85))</f>
        <v>86</v>
      </c>
      <c r="AA29" s="312">
        <f ca="1">IF(AND(AA$22=TRUE,INDEX(CDRANGE_CLS2,MATCH($A29,$A$24:$A$67,0),MATCH(AA$20,$B$20:$G$20,0))&lt;$D$6/OPDAYS_Cls2),86,payback(E29,V29,disc_rate/12,85))</f>
        <v>86</v>
      </c>
      <c r="AB29" s="312">
        <f>IF(AND(AB$22=TRUE,INDEX(CDRANGE_CLS2,MATCH($A29,$A$24:$A$67,0),MATCH(AB$20,$B$20:$G$20,0))&lt;$D$6/OPDAYS_Cls2),86,payback(F29,W29,disc_rate/12,85))</f>
        <v>86</v>
      </c>
      <c r="AC29" s="313">
        <f ca="1">IF(AND(AC$22=TRUE,INDEX(CDRANGE_CLS2,MATCH($A29,$A$24:$A$67,0),MATCH(AC$20,$B$20:$G$20,0))&lt;$D$6/OPDAYS_Cls2),86,payback(G29,X29,disc_rate/12,85))</f>
        <v>86</v>
      </c>
      <c r="AD29" s="314">
        <f t="shared" si="39"/>
        <v>0</v>
      </c>
      <c r="AE29" s="315">
        <f t="shared" si="40"/>
        <v>0</v>
      </c>
      <c r="AF29" s="315">
        <f t="shared" si="41"/>
        <v>0</v>
      </c>
      <c r="AG29" s="315">
        <f t="shared" si="42"/>
        <v>0</v>
      </c>
      <c r="AH29" s="316">
        <f t="shared" si="43"/>
        <v>0</v>
      </c>
      <c r="AI29" s="317">
        <f t="shared" si="44"/>
        <v>0</v>
      </c>
      <c r="AJ29" s="318">
        <f t="shared" si="45"/>
        <v>0</v>
      </c>
      <c r="AK29" s="318">
        <f t="shared" si="46"/>
        <v>0</v>
      </c>
      <c r="AL29" s="318">
        <f t="shared" si="47"/>
        <v>0</v>
      </c>
      <c r="AM29" s="319">
        <f t="shared" si="48"/>
        <v>0</v>
      </c>
      <c r="AN29" s="317">
        <f t="shared" si="60"/>
        <v>0</v>
      </c>
      <c r="AO29" s="318">
        <f t="shared" si="49"/>
        <v>0</v>
      </c>
      <c r="AP29" s="318">
        <f t="shared" si="49"/>
        <v>0</v>
      </c>
      <c r="AQ29" s="318">
        <f t="shared" si="49"/>
        <v>0</v>
      </c>
      <c r="AR29" s="698">
        <f t="shared" si="49"/>
        <v>0</v>
      </c>
      <c r="AS29" s="300">
        <f t="shared" ca="1" si="50"/>
        <v>0</v>
      </c>
      <c r="AT29" s="301">
        <f t="shared" ca="1" si="51"/>
        <v>0</v>
      </c>
      <c r="AU29" s="301">
        <f t="shared" ca="1" si="52"/>
        <v>0</v>
      </c>
      <c r="AV29" s="301">
        <f t="shared" si="53"/>
        <v>0</v>
      </c>
      <c r="AW29" s="302">
        <f t="shared" ca="1" si="54"/>
        <v>0</v>
      </c>
      <c r="AX29" s="314">
        <f t="shared" ca="1" si="55"/>
        <v>0</v>
      </c>
      <c r="AY29" s="315">
        <f t="shared" ca="1" si="56"/>
        <v>0</v>
      </c>
      <c r="AZ29" s="315">
        <f t="shared" ca="1" si="57"/>
        <v>0</v>
      </c>
      <c r="BA29" s="301">
        <f t="shared" si="61"/>
        <v>0</v>
      </c>
      <c r="BB29" s="302">
        <f t="shared" ca="1" si="62"/>
        <v>0</v>
      </c>
      <c r="BC29" s="300">
        <f t="shared" ca="1" si="63"/>
        <v>1</v>
      </c>
      <c r="BD29" s="301">
        <f t="shared" ca="1" si="64"/>
        <v>0</v>
      </c>
      <c r="BE29" s="301">
        <f t="shared" ca="1" si="65"/>
        <v>0</v>
      </c>
      <c r="BF29" s="301">
        <f t="shared" ca="1" si="66"/>
        <v>0</v>
      </c>
      <c r="BG29" s="301">
        <f t="shared" ca="1" si="67"/>
        <v>0</v>
      </c>
      <c r="BH29" s="302">
        <f t="shared" ca="1" si="68"/>
        <v>0</v>
      </c>
    </row>
    <row r="30" spans="1:60" x14ac:dyDescent="0.2">
      <c r="A30" s="335">
        <v>2013</v>
      </c>
      <c r="B30" s="925">
        <f t="shared" si="26"/>
        <v>136900</v>
      </c>
      <c r="C30" s="926">
        <f t="shared" si="26"/>
        <v>1000000</v>
      </c>
      <c r="D30" s="926">
        <f t="shared" si="26"/>
        <v>1000000</v>
      </c>
      <c r="E30" s="926">
        <f t="shared" si="26"/>
        <v>1000000</v>
      </c>
      <c r="F30" s="926">
        <f t="shared" si="26"/>
        <v>1000000</v>
      </c>
      <c r="G30" s="927">
        <f t="shared" si="26"/>
        <v>1000000</v>
      </c>
      <c r="H30" s="1090">
        <f t="shared" si="27"/>
        <v>1</v>
      </c>
      <c r="I30" s="1091">
        <f t="shared" si="27"/>
        <v>1</v>
      </c>
      <c r="J30" s="1091">
        <f t="shared" si="27"/>
        <v>1</v>
      </c>
      <c r="K30" s="1091">
        <f t="shared" si="27"/>
        <v>1</v>
      </c>
      <c r="L30" s="1091">
        <f t="shared" si="27"/>
        <v>1</v>
      </c>
      <c r="M30" s="1092">
        <f t="shared" si="27"/>
        <v>1</v>
      </c>
      <c r="N30" s="307">
        <f t="shared" si="28"/>
        <v>12901.625534611465</v>
      </c>
      <c r="O30" s="308">
        <f t="shared" si="29"/>
        <v>74036.517256992476</v>
      </c>
      <c r="P30" s="308">
        <f t="shared" si="30"/>
        <v>74036.517256992476</v>
      </c>
      <c r="Q30" s="308">
        <f t="shared" si="31"/>
        <v>74036.517256992476</v>
      </c>
      <c r="R30" s="308">
        <f t="shared" si="32"/>
        <v>79095.326956759003</v>
      </c>
      <c r="S30" s="310">
        <f t="shared" si="33"/>
        <v>190086.28115665101</v>
      </c>
      <c r="T30" s="307">
        <f t="shared" si="34"/>
        <v>-61134.891722381013</v>
      </c>
      <c r="U30" s="308">
        <f t="shared" si="35"/>
        <v>-61134.891722381013</v>
      </c>
      <c r="V30" s="308">
        <f t="shared" si="36"/>
        <v>-61134.891722381013</v>
      </c>
      <c r="W30" s="308">
        <f t="shared" si="37"/>
        <v>-66193.70142214754</v>
      </c>
      <c r="X30" s="310">
        <f t="shared" si="38"/>
        <v>-177184.65562203954</v>
      </c>
      <c r="Y30" s="311">
        <f ca="1">IF(AND(Y$22=TRUE,INDEX(CDRANGE_CLS2,MATCH($A30,$A$24:$A$67,0),MATCH(Y$20,$B$20:$G$20,0))&lt;$D$6/OPDAYS_Cls2),86,payback(C30,T30,disc_rate/12,85))</f>
        <v>86</v>
      </c>
      <c r="Z30" s="312">
        <f ca="1">IF(AND(Z$22=TRUE,INDEX(CDRANGE_CLS2,MATCH($A30,$A$24:$A$67,0),MATCH(Z$20,$B$20:$G$20,0))&lt;$D$6/OPDAYS_Cls2),86,payback(D30,U30,disc_rate/12,85))</f>
        <v>86</v>
      </c>
      <c r="AA30" s="312">
        <f ca="1">IF(AND(AA$22=TRUE,INDEX(CDRANGE_CLS2,MATCH($A30,$A$24:$A$67,0),MATCH(AA$20,$B$20:$G$20,0))&lt;$D$6/OPDAYS_Cls2),86,payback(E30,V30,disc_rate/12,85))</f>
        <v>86</v>
      </c>
      <c r="AB30" s="312">
        <f>IF(AND(AB$22=TRUE,INDEX(CDRANGE_CLS2,MATCH($A30,$A$24:$A$67,0),MATCH(AB$20,$B$20:$G$20,0))&lt;$D$6/OPDAYS_Cls2),86,payback(F30,W30,disc_rate/12,85))</f>
        <v>86</v>
      </c>
      <c r="AC30" s="313">
        <f ca="1">IF(AND(AC$22=TRUE,INDEX(CDRANGE_CLS2,MATCH($A30,$A$24:$A$67,0),MATCH(AC$20,$B$20:$G$20,0))&lt;$D$6/OPDAYS_Cls2),86,payback(G30,X30,disc_rate/12,85))</f>
        <v>86</v>
      </c>
      <c r="AD30" s="314">
        <f t="shared" si="39"/>
        <v>0</v>
      </c>
      <c r="AE30" s="315">
        <f t="shared" si="40"/>
        <v>0</v>
      </c>
      <c r="AF30" s="315">
        <f t="shared" si="41"/>
        <v>0</v>
      </c>
      <c r="AG30" s="315">
        <f t="shared" si="42"/>
        <v>0</v>
      </c>
      <c r="AH30" s="316">
        <f t="shared" si="43"/>
        <v>0</v>
      </c>
      <c r="AI30" s="317">
        <f t="shared" si="44"/>
        <v>0</v>
      </c>
      <c r="AJ30" s="318">
        <f t="shared" si="45"/>
        <v>0</v>
      </c>
      <c r="AK30" s="318">
        <f t="shared" si="46"/>
        <v>0</v>
      </c>
      <c r="AL30" s="318">
        <f t="shared" si="47"/>
        <v>0</v>
      </c>
      <c r="AM30" s="319">
        <f t="shared" si="48"/>
        <v>0</v>
      </c>
      <c r="AN30" s="317">
        <f t="shared" si="60"/>
        <v>0</v>
      </c>
      <c r="AO30" s="318">
        <f t="shared" si="49"/>
        <v>0</v>
      </c>
      <c r="AP30" s="318">
        <f t="shared" si="49"/>
        <v>0</v>
      </c>
      <c r="AQ30" s="318">
        <f t="shared" si="49"/>
        <v>0</v>
      </c>
      <c r="AR30" s="698">
        <f t="shared" si="49"/>
        <v>0</v>
      </c>
      <c r="AS30" s="300">
        <f t="shared" ca="1" si="50"/>
        <v>0</v>
      </c>
      <c r="AT30" s="301">
        <f t="shared" ca="1" si="51"/>
        <v>0</v>
      </c>
      <c r="AU30" s="301">
        <f t="shared" ca="1" si="52"/>
        <v>0</v>
      </c>
      <c r="AV30" s="301">
        <f t="shared" si="53"/>
        <v>0</v>
      </c>
      <c r="AW30" s="302">
        <f t="shared" ca="1" si="54"/>
        <v>0</v>
      </c>
      <c r="AX30" s="314">
        <f t="shared" ca="1" si="55"/>
        <v>0</v>
      </c>
      <c r="AY30" s="315">
        <f t="shared" ca="1" si="56"/>
        <v>0</v>
      </c>
      <c r="AZ30" s="315">
        <f t="shared" ca="1" si="57"/>
        <v>0</v>
      </c>
      <c r="BA30" s="301">
        <f t="shared" si="61"/>
        <v>0</v>
      </c>
      <c r="BB30" s="302">
        <f t="shared" ca="1" si="62"/>
        <v>0</v>
      </c>
      <c r="BC30" s="300">
        <f t="shared" ca="1" si="63"/>
        <v>1</v>
      </c>
      <c r="BD30" s="301">
        <f t="shared" ca="1" si="64"/>
        <v>0</v>
      </c>
      <c r="BE30" s="301">
        <f t="shared" ca="1" si="65"/>
        <v>0</v>
      </c>
      <c r="BF30" s="301">
        <f t="shared" ca="1" si="66"/>
        <v>0</v>
      </c>
      <c r="BG30" s="301">
        <f t="shared" ca="1" si="67"/>
        <v>0</v>
      </c>
      <c r="BH30" s="302">
        <f t="shared" ca="1" si="68"/>
        <v>0</v>
      </c>
    </row>
    <row r="31" spans="1:60" x14ac:dyDescent="0.2">
      <c r="A31" s="335">
        <v>2014</v>
      </c>
      <c r="B31" s="925">
        <f t="shared" si="26"/>
        <v>136900</v>
      </c>
      <c r="C31" s="926">
        <f t="shared" si="26"/>
        <v>1000000</v>
      </c>
      <c r="D31" s="926">
        <f t="shared" si="26"/>
        <v>1000000</v>
      </c>
      <c r="E31" s="926">
        <f t="shared" si="26"/>
        <v>1000000</v>
      </c>
      <c r="F31" s="926">
        <f t="shared" si="26"/>
        <v>1000000</v>
      </c>
      <c r="G31" s="927">
        <f t="shared" si="26"/>
        <v>1000000</v>
      </c>
      <c r="H31" s="1090">
        <f t="shared" si="27"/>
        <v>1</v>
      </c>
      <c r="I31" s="1091">
        <f t="shared" si="27"/>
        <v>1</v>
      </c>
      <c r="J31" s="1091">
        <f t="shared" si="27"/>
        <v>1</v>
      </c>
      <c r="K31" s="1091">
        <f t="shared" si="27"/>
        <v>1</v>
      </c>
      <c r="L31" s="1091">
        <f t="shared" si="27"/>
        <v>1</v>
      </c>
      <c r="M31" s="1092">
        <f t="shared" si="27"/>
        <v>1</v>
      </c>
      <c r="N31" s="307">
        <f t="shared" si="28"/>
        <v>12153.072339087092</v>
      </c>
      <c r="O31" s="308">
        <f t="shared" si="29"/>
        <v>70857.554345909797</v>
      </c>
      <c r="P31" s="308">
        <f t="shared" si="30"/>
        <v>70857.554345909797</v>
      </c>
      <c r="Q31" s="308">
        <f t="shared" si="31"/>
        <v>70857.554345909797</v>
      </c>
      <c r="R31" s="308">
        <f t="shared" si="32"/>
        <v>82092.715235967145</v>
      </c>
      <c r="S31" s="310">
        <f t="shared" si="33"/>
        <v>190086.28115665101</v>
      </c>
      <c r="T31" s="307">
        <f t="shared" si="34"/>
        <v>-58704.482006822705</v>
      </c>
      <c r="U31" s="308">
        <f t="shared" si="35"/>
        <v>-58704.482006822705</v>
      </c>
      <c r="V31" s="308">
        <f t="shared" si="36"/>
        <v>-58704.482006822705</v>
      </c>
      <c r="W31" s="308">
        <f t="shared" si="37"/>
        <v>-69939.642896880046</v>
      </c>
      <c r="X31" s="310">
        <f t="shared" si="38"/>
        <v>-177933.20881756392</v>
      </c>
      <c r="Y31" s="311">
        <f ca="1">IF(AND(Y$22=TRUE,INDEX(CDRANGE_CLS2,MATCH($A31,$A$24:$A$67,0),MATCH(Y$20,$B$20:$G$20,0))&lt;$D$6/OPDAYS_Cls2),86,payback(C31,T31,disc_rate/12,85))</f>
        <v>86</v>
      </c>
      <c r="Z31" s="312">
        <f ca="1">IF(AND(Z$22=TRUE,INDEX(CDRANGE_CLS2,MATCH($A31,$A$24:$A$67,0),MATCH(Z$20,$B$20:$G$20,0))&lt;$D$6/OPDAYS_Cls2),86,payback(D31,U31,disc_rate/12,85))</f>
        <v>86</v>
      </c>
      <c r="AA31" s="312">
        <f ca="1">IF(AND(AA$22=TRUE,INDEX(CDRANGE_CLS2,MATCH($A31,$A$24:$A$67,0),MATCH(AA$20,$B$20:$G$20,0))&lt;$D$6/OPDAYS_Cls2),86,payback(E31,V31,disc_rate/12,85))</f>
        <v>86</v>
      </c>
      <c r="AB31" s="312">
        <f>IF(AND(AB$22=TRUE,INDEX(CDRANGE_CLS2,MATCH($A31,$A$24:$A$67,0),MATCH(AB$20,$B$20:$G$20,0))&lt;$D$6/OPDAYS_Cls2),86,payback(F31,W31,disc_rate/12,85))</f>
        <v>86</v>
      </c>
      <c r="AC31" s="313">
        <f ca="1">IF(AND(AC$22=TRUE,INDEX(CDRANGE_CLS2,MATCH($A31,$A$24:$A$67,0),MATCH(AC$20,$B$20:$G$20,0))&lt;$D$6/OPDAYS_Cls2),86,payback(G31,X31,disc_rate/12,85))</f>
        <v>86</v>
      </c>
      <c r="AD31" s="314">
        <f t="shared" si="39"/>
        <v>0</v>
      </c>
      <c r="AE31" s="315">
        <f t="shared" si="40"/>
        <v>0</v>
      </c>
      <c r="AF31" s="315">
        <f t="shared" si="41"/>
        <v>0</v>
      </c>
      <c r="AG31" s="315">
        <f t="shared" si="42"/>
        <v>0</v>
      </c>
      <c r="AH31" s="316">
        <f t="shared" si="43"/>
        <v>0</v>
      </c>
      <c r="AI31" s="317">
        <f t="shared" si="44"/>
        <v>0</v>
      </c>
      <c r="AJ31" s="318">
        <f t="shared" si="45"/>
        <v>0</v>
      </c>
      <c r="AK31" s="318">
        <f t="shared" si="46"/>
        <v>0</v>
      </c>
      <c r="AL31" s="318">
        <f t="shared" si="47"/>
        <v>0</v>
      </c>
      <c r="AM31" s="319">
        <f t="shared" si="48"/>
        <v>0</v>
      </c>
      <c r="AN31" s="317">
        <f t="shared" si="60"/>
        <v>0</v>
      </c>
      <c r="AO31" s="318">
        <f t="shared" si="49"/>
        <v>0</v>
      </c>
      <c r="AP31" s="318">
        <f t="shared" si="49"/>
        <v>0</v>
      </c>
      <c r="AQ31" s="318">
        <f t="shared" si="49"/>
        <v>0</v>
      </c>
      <c r="AR31" s="698">
        <f t="shared" si="49"/>
        <v>0</v>
      </c>
      <c r="AS31" s="300">
        <f t="shared" ca="1" si="50"/>
        <v>0</v>
      </c>
      <c r="AT31" s="301">
        <f t="shared" ca="1" si="51"/>
        <v>0</v>
      </c>
      <c r="AU31" s="301">
        <f t="shared" ca="1" si="52"/>
        <v>0</v>
      </c>
      <c r="AV31" s="301">
        <f t="shared" si="53"/>
        <v>0</v>
      </c>
      <c r="AW31" s="302">
        <f t="shared" ca="1" si="54"/>
        <v>0</v>
      </c>
      <c r="AX31" s="314">
        <f t="shared" ca="1" si="55"/>
        <v>0</v>
      </c>
      <c r="AY31" s="315">
        <f t="shared" ca="1" si="56"/>
        <v>0</v>
      </c>
      <c r="AZ31" s="315">
        <f t="shared" ca="1" si="57"/>
        <v>0</v>
      </c>
      <c r="BA31" s="301">
        <f t="shared" si="61"/>
        <v>0</v>
      </c>
      <c r="BB31" s="302">
        <f t="shared" ca="1" si="62"/>
        <v>0</v>
      </c>
      <c r="BC31" s="300">
        <f t="shared" ca="1" si="63"/>
        <v>1</v>
      </c>
      <c r="BD31" s="301">
        <f t="shared" ca="1" si="64"/>
        <v>0</v>
      </c>
      <c r="BE31" s="301">
        <f t="shared" ca="1" si="65"/>
        <v>0</v>
      </c>
      <c r="BF31" s="301">
        <f t="shared" ca="1" si="66"/>
        <v>0</v>
      </c>
      <c r="BG31" s="301">
        <f t="shared" ca="1" si="67"/>
        <v>0</v>
      </c>
      <c r="BH31" s="302">
        <f t="shared" ca="1" si="68"/>
        <v>0</v>
      </c>
    </row>
    <row r="32" spans="1:60" ht="13.5" thickBot="1" x14ac:dyDescent="0.25">
      <c r="A32" s="320">
        <v>2015</v>
      </c>
      <c r="B32" s="928">
        <f t="shared" si="26"/>
        <v>136900</v>
      </c>
      <c r="C32" s="929">
        <f t="shared" si="26"/>
        <v>1000000</v>
      </c>
      <c r="D32" s="929">
        <f t="shared" si="26"/>
        <v>1000000</v>
      </c>
      <c r="E32" s="929">
        <f t="shared" si="26"/>
        <v>1000000</v>
      </c>
      <c r="F32" s="929">
        <f t="shared" si="26"/>
        <v>1000000</v>
      </c>
      <c r="G32" s="930">
        <f t="shared" si="26"/>
        <v>1000000</v>
      </c>
      <c r="H32" s="1084">
        <f t="shared" si="27"/>
        <v>1</v>
      </c>
      <c r="I32" s="1085">
        <f t="shared" si="27"/>
        <v>1</v>
      </c>
      <c r="J32" s="1085">
        <f t="shared" si="27"/>
        <v>1</v>
      </c>
      <c r="K32" s="1085">
        <f t="shared" si="27"/>
        <v>1</v>
      </c>
      <c r="L32" s="1085">
        <f t="shared" si="27"/>
        <v>1</v>
      </c>
      <c r="M32" s="1086">
        <f t="shared" si="27"/>
        <v>1</v>
      </c>
      <c r="N32" s="321">
        <f t="shared" si="28"/>
        <v>8430.7978136000856</v>
      </c>
      <c r="O32" s="322">
        <f t="shared" si="29"/>
        <v>50430.172296417928</v>
      </c>
      <c r="P32" s="322">
        <f t="shared" si="30"/>
        <v>50430.172296417928</v>
      </c>
      <c r="Q32" s="322">
        <f t="shared" si="31"/>
        <v>50430.172296417928</v>
      </c>
      <c r="R32" s="322">
        <f t="shared" si="32"/>
        <v>75216.235795203684</v>
      </c>
      <c r="S32" s="324">
        <f t="shared" si="33"/>
        <v>274186.44574510067</v>
      </c>
      <c r="T32" s="321">
        <f t="shared" si="34"/>
        <v>-41999.374482817846</v>
      </c>
      <c r="U32" s="322">
        <f t="shared" si="35"/>
        <v>-41999.374482817846</v>
      </c>
      <c r="V32" s="322">
        <f t="shared" si="36"/>
        <v>-41999.374482817846</v>
      </c>
      <c r="W32" s="322">
        <f t="shared" si="37"/>
        <v>-66785.437981603594</v>
      </c>
      <c r="X32" s="324">
        <f t="shared" si="38"/>
        <v>-265755.64793150057</v>
      </c>
      <c r="Y32" s="325">
        <f ca="1">IF(AND(Y$22=TRUE,INDEX(CDRANGE_CLS2,MATCH($A32,$A$24:$A$67,0),MATCH(Y$20,$B$20:$G$20,0))&lt;$D$6/OPDAYS_Cls2),86,payback(C32,T32,disc_rate/12,85))</f>
        <v>86</v>
      </c>
      <c r="Z32" s="326">
        <f ca="1">IF(AND(Z$22=TRUE,INDEX(CDRANGE_CLS2,MATCH($A32,$A$24:$A$67,0),MATCH(Z$20,$B$20:$G$20,0))&lt;$D$6/OPDAYS_Cls2),86,payback(D32,U32,disc_rate/12,85))</f>
        <v>86</v>
      </c>
      <c r="AA32" s="326">
        <f ca="1">IF(AND(AA$22=TRUE,INDEX(CDRANGE_CLS2,MATCH($A32,$A$24:$A$67,0),MATCH(AA$20,$B$20:$G$20,0))&lt;$D$6/OPDAYS_Cls2),86,payback(E32,V32,disc_rate/12,85))</f>
        <v>86</v>
      </c>
      <c r="AB32" s="326">
        <f>IF(AND(AB$22=TRUE,INDEX(CDRANGE_CLS2,MATCH($A32,$A$24:$A$67,0),MATCH(AB$20,$B$20:$G$20,0))&lt;$D$6/OPDAYS_Cls2),86,payback(F32,W32,disc_rate/12,85))</f>
        <v>86</v>
      </c>
      <c r="AC32" s="327">
        <f ca="1">IF(AND(AC$22=TRUE,INDEX(CDRANGE_CLS2,MATCH($A32,$A$24:$A$67,0),MATCH(AC$20,$B$20:$G$20,0))&lt;$D$6/OPDAYS_Cls2),86,payback(G32,X32,disc_rate/12,85))</f>
        <v>86</v>
      </c>
      <c r="AD32" s="328">
        <f t="shared" si="39"/>
        <v>0</v>
      </c>
      <c r="AE32" s="329">
        <f t="shared" si="40"/>
        <v>0</v>
      </c>
      <c r="AF32" s="329">
        <f t="shared" si="41"/>
        <v>0</v>
      </c>
      <c r="AG32" s="329">
        <f t="shared" si="42"/>
        <v>0</v>
      </c>
      <c r="AH32" s="330">
        <f t="shared" si="43"/>
        <v>0</v>
      </c>
      <c r="AI32" s="331">
        <f t="shared" si="44"/>
        <v>0</v>
      </c>
      <c r="AJ32" s="332">
        <f t="shared" si="45"/>
        <v>0</v>
      </c>
      <c r="AK32" s="332">
        <f t="shared" si="46"/>
        <v>0</v>
      </c>
      <c r="AL32" s="332">
        <f t="shared" si="47"/>
        <v>0</v>
      </c>
      <c r="AM32" s="333">
        <f t="shared" si="48"/>
        <v>0</v>
      </c>
      <c r="AN32" s="331">
        <f t="shared" si="60"/>
        <v>0</v>
      </c>
      <c r="AO32" s="332">
        <f t="shared" si="49"/>
        <v>0</v>
      </c>
      <c r="AP32" s="332">
        <f t="shared" si="49"/>
        <v>0</v>
      </c>
      <c r="AQ32" s="332">
        <f t="shared" si="49"/>
        <v>0</v>
      </c>
      <c r="AR32" s="699">
        <f t="shared" si="49"/>
        <v>0</v>
      </c>
      <c r="AS32" s="935">
        <f t="shared" ca="1" si="50"/>
        <v>0</v>
      </c>
      <c r="AT32" s="936">
        <f t="shared" ca="1" si="51"/>
        <v>0</v>
      </c>
      <c r="AU32" s="936">
        <f t="shared" ca="1" si="52"/>
        <v>0</v>
      </c>
      <c r="AV32" s="936">
        <f t="shared" si="53"/>
        <v>0</v>
      </c>
      <c r="AW32" s="937">
        <f t="shared" ca="1" si="54"/>
        <v>0</v>
      </c>
      <c r="AX32" s="328">
        <f t="shared" ca="1" si="55"/>
        <v>0</v>
      </c>
      <c r="AY32" s="329">
        <f t="shared" ca="1" si="56"/>
        <v>0</v>
      </c>
      <c r="AZ32" s="329">
        <f t="shared" ca="1" si="57"/>
        <v>0</v>
      </c>
      <c r="BA32" s="329">
        <f t="shared" si="61"/>
        <v>0</v>
      </c>
      <c r="BB32" s="330">
        <f t="shared" ca="1" si="62"/>
        <v>0</v>
      </c>
      <c r="BC32" s="328">
        <f t="shared" ca="1" si="63"/>
        <v>1</v>
      </c>
      <c r="BD32" s="329">
        <f t="shared" ca="1" si="64"/>
        <v>0</v>
      </c>
      <c r="BE32" s="329">
        <f t="shared" ca="1" si="65"/>
        <v>0</v>
      </c>
      <c r="BF32" s="329">
        <f t="shared" ca="1" si="66"/>
        <v>0</v>
      </c>
      <c r="BG32" s="329">
        <f t="shared" ca="1" si="67"/>
        <v>0</v>
      </c>
      <c r="BH32" s="330">
        <f t="shared" ca="1" si="68"/>
        <v>0</v>
      </c>
    </row>
    <row r="33" spans="1:60" x14ac:dyDescent="0.2">
      <c r="A33" s="334">
        <v>2016</v>
      </c>
      <c r="B33" s="931">
        <f t="shared" si="26"/>
        <v>136900</v>
      </c>
      <c r="C33" s="932">
        <f t="shared" si="26"/>
        <v>1000000</v>
      </c>
      <c r="D33" s="932">
        <f t="shared" si="26"/>
        <v>1000000</v>
      </c>
      <c r="E33" s="932">
        <f t="shared" si="26"/>
        <v>1000000</v>
      </c>
      <c r="F33" s="932">
        <f t="shared" si="26"/>
        <v>1000000</v>
      </c>
      <c r="G33" s="933">
        <f t="shared" si="26"/>
        <v>1000000</v>
      </c>
      <c r="H33" s="1087">
        <f t="shared" si="27"/>
        <v>1</v>
      </c>
      <c r="I33" s="1088">
        <f t="shared" si="27"/>
        <v>1</v>
      </c>
      <c r="J33" s="1088">
        <f t="shared" si="27"/>
        <v>1</v>
      </c>
      <c r="K33" s="1088">
        <f t="shared" si="27"/>
        <v>1</v>
      </c>
      <c r="L33" s="1088">
        <f t="shared" si="27"/>
        <v>1</v>
      </c>
      <c r="M33" s="1089">
        <f t="shared" si="27"/>
        <v>1</v>
      </c>
      <c r="N33" s="293">
        <f t="shared" si="28"/>
        <v>7187.5317435736324</v>
      </c>
      <c r="O33" s="294">
        <f t="shared" si="29"/>
        <v>43938.902803263285</v>
      </c>
      <c r="P33" s="294">
        <f t="shared" si="30"/>
        <v>43938.902803263285</v>
      </c>
      <c r="Q33" s="294">
        <f t="shared" si="31"/>
        <v>43938.902803263285</v>
      </c>
      <c r="R33" s="294">
        <f t="shared" si="32"/>
        <v>73685.469737488325</v>
      </c>
      <c r="S33" s="296">
        <f t="shared" si="33"/>
        <v>274186.44574510067</v>
      </c>
      <c r="T33" s="293">
        <f t="shared" si="34"/>
        <v>-36751.371059689656</v>
      </c>
      <c r="U33" s="294">
        <f t="shared" si="35"/>
        <v>-36751.371059689656</v>
      </c>
      <c r="V33" s="294">
        <f t="shared" si="36"/>
        <v>-36751.371059689656</v>
      </c>
      <c r="W33" s="294">
        <f t="shared" si="37"/>
        <v>-66497.937993914689</v>
      </c>
      <c r="X33" s="296">
        <f t="shared" si="38"/>
        <v>-266998.91400152707</v>
      </c>
      <c r="Y33" s="297">
        <f ca="1">IF(AND(Y$22=TRUE,INDEX(CDRANGE_CLS2,MATCH($A33,$A$24:$A$67,0),MATCH(Y$20,$B$20:$G$20,0))&lt;$D$6/OPDAYS_Cls2),86,payback(C33,T33,disc_rate/12,85))</f>
        <v>86</v>
      </c>
      <c r="Z33" s="298">
        <f ca="1">IF(AND(Z$22=TRUE,INDEX(CDRANGE_CLS2,MATCH($A33,$A$24:$A$67,0),MATCH(Z$20,$B$20:$G$20,0))&lt;$D$6/OPDAYS_Cls2),86,payback(D33,U33,disc_rate/12,85))</f>
        <v>86</v>
      </c>
      <c r="AA33" s="298">
        <f ca="1">IF(AND(AA$22=TRUE,INDEX(CDRANGE_CLS2,MATCH($A33,$A$24:$A$67,0),MATCH(AA$20,$B$20:$G$20,0))&lt;$D$6/OPDAYS_Cls2),86,payback(E33,V33,disc_rate/12,85))</f>
        <v>86</v>
      </c>
      <c r="AB33" s="298">
        <f>IF(AND(AB$22=TRUE,INDEX(CDRANGE_CLS2,MATCH($A33,$A$24:$A$67,0),MATCH(AB$20,$B$20:$G$20,0))&lt;$D$6/OPDAYS_Cls2),86,payback(F33,W33,disc_rate/12,85))</f>
        <v>86</v>
      </c>
      <c r="AC33" s="299">
        <f ca="1">IF(AND(AC$22=TRUE,INDEX(CDRANGE_CLS2,MATCH($A33,$A$24:$A$67,0),MATCH(AC$20,$B$20:$G$20,0))&lt;$D$6/OPDAYS_Cls2),86,payback(G33,X33,disc_rate/12,85))</f>
        <v>86</v>
      </c>
      <c r="AD33" s="300">
        <f t="shared" si="39"/>
        <v>0</v>
      </c>
      <c r="AE33" s="301">
        <f t="shared" si="40"/>
        <v>0</v>
      </c>
      <c r="AF33" s="301">
        <f t="shared" si="41"/>
        <v>0</v>
      </c>
      <c r="AG33" s="301">
        <f t="shared" si="42"/>
        <v>0</v>
      </c>
      <c r="AH33" s="302">
        <f t="shared" si="43"/>
        <v>0</v>
      </c>
      <c r="AI33" s="303">
        <f t="shared" si="44"/>
        <v>0</v>
      </c>
      <c r="AJ33" s="304">
        <f t="shared" si="45"/>
        <v>0</v>
      </c>
      <c r="AK33" s="304">
        <f t="shared" si="46"/>
        <v>0</v>
      </c>
      <c r="AL33" s="304">
        <f t="shared" si="47"/>
        <v>0</v>
      </c>
      <c r="AM33" s="305">
        <f t="shared" si="48"/>
        <v>0</v>
      </c>
      <c r="AN33" s="303">
        <f t="shared" si="60"/>
        <v>0</v>
      </c>
      <c r="AO33" s="304">
        <f t="shared" si="49"/>
        <v>0</v>
      </c>
      <c r="AP33" s="304">
        <f t="shared" si="49"/>
        <v>0</v>
      </c>
      <c r="AQ33" s="304">
        <f t="shared" si="49"/>
        <v>0</v>
      </c>
      <c r="AR33" s="711">
        <f t="shared" si="49"/>
        <v>0</v>
      </c>
      <c r="AS33" s="737">
        <f t="shared" ca="1" si="50"/>
        <v>0</v>
      </c>
      <c r="AT33" s="738">
        <f t="shared" ca="1" si="51"/>
        <v>0</v>
      </c>
      <c r="AU33" s="738">
        <f t="shared" ca="1" si="52"/>
        <v>0</v>
      </c>
      <c r="AV33" s="738">
        <f t="shared" si="53"/>
        <v>0</v>
      </c>
      <c r="AW33" s="739">
        <f t="shared" ca="1" si="54"/>
        <v>0</v>
      </c>
      <c r="AX33" s="300">
        <f t="shared" ca="1" si="55"/>
        <v>0</v>
      </c>
      <c r="AY33" s="301">
        <f t="shared" ca="1" si="56"/>
        <v>0</v>
      </c>
      <c r="AZ33" s="301">
        <f t="shared" ca="1" si="57"/>
        <v>0</v>
      </c>
      <c r="BA33" s="301">
        <f t="shared" si="61"/>
        <v>0</v>
      </c>
      <c r="BB33" s="302">
        <f t="shared" ca="1" si="62"/>
        <v>0</v>
      </c>
      <c r="BC33" s="300">
        <f t="shared" ca="1" si="63"/>
        <v>1</v>
      </c>
      <c r="BD33" s="301">
        <f t="shared" ca="1" si="64"/>
        <v>0</v>
      </c>
      <c r="BE33" s="301">
        <f t="shared" ca="1" si="65"/>
        <v>0</v>
      </c>
      <c r="BF33" s="301">
        <f t="shared" ca="1" si="66"/>
        <v>0</v>
      </c>
      <c r="BG33" s="301">
        <f t="shared" ca="1" si="67"/>
        <v>0</v>
      </c>
      <c r="BH33" s="302">
        <f t="shared" ca="1" si="68"/>
        <v>0</v>
      </c>
    </row>
    <row r="34" spans="1:60" x14ac:dyDescent="0.2">
      <c r="A34" s="335">
        <v>2017</v>
      </c>
      <c r="B34" s="925">
        <f t="shared" ref="B34:G43" si="69">ROUND(INDEX(COST_Cls2,$A34-($A$24-1),MATCH(B$20,TECHOPTS_Cls2,0)),2)</f>
        <v>136900</v>
      </c>
      <c r="C34" s="926">
        <f t="shared" si="69"/>
        <v>1000000</v>
      </c>
      <c r="D34" s="926">
        <f t="shared" si="69"/>
        <v>1000000</v>
      </c>
      <c r="E34" s="926">
        <f t="shared" si="69"/>
        <v>1000000</v>
      </c>
      <c r="F34" s="926">
        <f t="shared" si="69"/>
        <v>1000000</v>
      </c>
      <c r="G34" s="927">
        <f t="shared" si="69"/>
        <v>1000000</v>
      </c>
      <c r="H34" s="1090">
        <f t="shared" ref="H34:M43" si="70">IF(H$21="Single-fuel",1,1-MIN(INDEX(CDRANGE_CLS2,$A34-($A$24-1),MATCH(H$20,TECHOPTS_Cls2,0))*OPDAYS_Cls2/$D$6,1))</f>
        <v>1</v>
      </c>
      <c r="I34" s="1091">
        <f t="shared" si="70"/>
        <v>1</v>
      </c>
      <c r="J34" s="1091">
        <f t="shared" si="70"/>
        <v>1</v>
      </c>
      <c r="K34" s="1091">
        <f t="shared" si="70"/>
        <v>1</v>
      </c>
      <c r="L34" s="1091">
        <f t="shared" si="70"/>
        <v>1</v>
      </c>
      <c r="M34" s="1092">
        <f t="shared" si="70"/>
        <v>1</v>
      </c>
      <c r="N34" s="307">
        <f t="shared" si="28"/>
        <v>7945.5031952788368</v>
      </c>
      <c r="O34" s="308">
        <f t="shared" si="29"/>
        <v>49963.538323818531</v>
      </c>
      <c r="P34" s="308">
        <f t="shared" si="30"/>
        <v>49963.538323818531</v>
      </c>
      <c r="Q34" s="308">
        <f t="shared" si="31"/>
        <v>49963.538323818531</v>
      </c>
      <c r="R34" s="308">
        <f t="shared" si="32"/>
        <v>74236.578680718463</v>
      </c>
      <c r="S34" s="310">
        <f t="shared" si="33"/>
        <v>274186.44574510067</v>
      </c>
      <c r="T34" s="307">
        <f t="shared" si="34"/>
        <v>-42018.035128539697</v>
      </c>
      <c r="U34" s="308">
        <f t="shared" si="35"/>
        <v>-42018.035128539697</v>
      </c>
      <c r="V34" s="308">
        <f t="shared" si="36"/>
        <v>-42018.035128539697</v>
      </c>
      <c r="W34" s="308">
        <f t="shared" si="37"/>
        <v>-66291.075485439622</v>
      </c>
      <c r="X34" s="310">
        <f t="shared" si="38"/>
        <v>-266240.94254982186</v>
      </c>
      <c r="Y34" s="311">
        <f ca="1">IF(AND(Y$22=TRUE,INDEX(CDRANGE_CLS2,MATCH($A34,$A$24:$A$67,0),MATCH(Y$20,$B$20:$G$20,0))&lt;$D$6/OPDAYS_Cls2),86,payback(C34,T34,disc_rate/12,85))</f>
        <v>86</v>
      </c>
      <c r="Z34" s="312">
        <f ca="1">IF(AND(Z$22=TRUE,INDEX(CDRANGE_CLS2,MATCH($A34,$A$24:$A$67,0),MATCH(Z$20,$B$20:$G$20,0))&lt;$D$6/OPDAYS_Cls2),86,payback(D34,U34,disc_rate/12,85))</f>
        <v>86</v>
      </c>
      <c r="AA34" s="312">
        <f ca="1">IF(AND(AA$22=TRUE,INDEX(CDRANGE_CLS2,MATCH($A34,$A$24:$A$67,0),MATCH(AA$20,$B$20:$G$20,0))&lt;$D$6/OPDAYS_Cls2),86,payback(E34,V34,disc_rate/12,85))</f>
        <v>86</v>
      </c>
      <c r="AB34" s="312">
        <f>IF(AND(AB$22=TRUE,INDEX(CDRANGE_CLS2,MATCH($A34,$A$24:$A$67,0),MATCH(AB$20,$B$20:$G$20,0))&lt;$D$6/OPDAYS_Cls2),86,payback(F34,W34,disc_rate/12,85))</f>
        <v>86</v>
      </c>
      <c r="AC34" s="313">
        <f ca="1">IF(AND(AC$22=TRUE,INDEX(CDRANGE_CLS2,MATCH($A34,$A$24:$A$67,0),MATCH(AC$20,$B$20:$G$20,0))&lt;$D$6/OPDAYS_Cls2),86,payback(G34,X34,disc_rate/12,85))</f>
        <v>86</v>
      </c>
      <c r="AD34" s="314">
        <f t="shared" si="39"/>
        <v>0</v>
      </c>
      <c r="AE34" s="315">
        <f t="shared" si="40"/>
        <v>0</v>
      </c>
      <c r="AF34" s="315">
        <f t="shared" si="41"/>
        <v>0</v>
      </c>
      <c r="AG34" s="315">
        <f t="shared" si="42"/>
        <v>0</v>
      </c>
      <c r="AH34" s="316">
        <f t="shared" si="43"/>
        <v>0</v>
      </c>
      <c r="AI34" s="317">
        <f t="shared" si="44"/>
        <v>0</v>
      </c>
      <c r="AJ34" s="318">
        <f t="shared" si="45"/>
        <v>0</v>
      </c>
      <c r="AK34" s="318">
        <f t="shared" si="46"/>
        <v>0</v>
      </c>
      <c r="AL34" s="318">
        <f t="shared" si="47"/>
        <v>0</v>
      </c>
      <c r="AM34" s="319">
        <f t="shared" si="48"/>
        <v>0</v>
      </c>
      <c r="AN34" s="317">
        <f t="shared" si="60"/>
        <v>0</v>
      </c>
      <c r="AO34" s="318">
        <f t="shared" si="49"/>
        <v>0</v>
      </c>
      <c r="AP34" s="318">
        <f t="shared" si="49"/>
        <v>0</v>
      </c>
      <c r="AQ34" s="318">
        <f t="shared" si="49"/>
        <v>0</v>
      </c>
      <c r="AR34" s="698">
        <f t="shared" si="49"/>
        <v>0</v>
      </c>
      <c r="AS34" s="300">
        <f t="shared" ca="1" si="50"/>
        <v>0</v>
      </c>
      <c r="AT34" s="301">
        <f t="shared" ca="1" si="51"/>
        <v>0</v>
      </c>
      <c r="AU34" s="301">
        <f t="shared" ca="1" si="52"/>
        <v>0</v>
      </c>
      <c r="AV34" s="301">
        <f t="shared" si="53"/>
        <v>0</v>
      </c>
      <c r="AW34" s="302">
        <f t="shared" ca="1" si="54"/>
        <v>0</v>
      </c>
      <c r="AX34" s="314">
        <f t="shared" ca="1" si="55"/>
        <v>0</v>
      </c>
      <c r="AY34" s="315">
        <f t="shared" ca="1" si="56"/>
        <v>0</v>
      </c>
      <c r="AZ34" s="315">
        <f t="shared" ca="1" si="57"/>
        <v>0</v>
      </c>
      <c r="BA34" s="301">
        <f t="shared" si="61"/>
        <v>0</v>
      </c>
      <c r="BB34" s="302">
        <f t="shared" ca="1" si="62"/>
        <v>0</v>
      </c>
      <c r="BC34" s="300">
        <f t="shared" ca="1" si="63"/>
        <v>1</v>
      </c>
      <c r="BD34" s="301">
        <f t="shared" ca="1" si="64"/>
        <v>0</v>
      </c>
      <c r="BE34" s="301">
        <f t="shared" ca="1" si="65"/>
        <v>0</v>
      </c>
      <c r="BF34" s="301">
        <f t="shared" ca="1" si="66"/>
        <v>0</v>
      </c>
      <c r="BG34" s="301">
        <f t="shared" ca="1" si="67"/>
        <v>0</v>
      </c>
      <c r="BH34" s="302">
        <f t="shared" ca="1" si="68"/>
        <v>0</v>
      </c>
    </row>
    <row r="35" spans="1:60" x14ac:dyDescent="0.2">
      <c r="A35" s="335">
        <v>2018</v>
      </c>
      <c r="B35" s="925">
        <f t="shared" si="69"/>
        <v>136900</v>
      </c>
      <c r="C35" s="926">
        <f t="shared" si="69"/>
        <v>1000000</v>
      </c>
      <c r="D35" s="926">
        <f t="shared" si="69"/>
        <v>1000000</v>
      </c>
      <c r="E35" s="926">
        <f t="shared" si="69"/>
        <v>1000000</v>
      </c>
      <c r="F35" s="926">
        <f t="shared" si="69"/>
        <v>1000000</v>
      </c>
      <c r="G35" s="927">
        <f t="shared" si="69"/>
        <v>1000000</v>
      </c>
      <c r="H35" s="1090">
        <f t="shared" si="70"/>
        <v>1</v>
      </c>
      <c r="I35" s="1091">
        <f t="shared" si="70"/>
        <v>1</v>
      </c>
      <c r="J35" s="1091">
        <f t="shared" si="70"/>
        <v>1</v>
      </c>
      <c r="K35" s="1091">
        <f t="shared" si="70"/>
        <v>1</v>
      </c>
      <c r="L35" s="1091">
        <f t="shared" si="70"/>
        <v>1</v>
      </c>
      <c r="M35" s="1092">
        <f t="shared" si="70"/>
        <v>1</v>
      </c>
      <c r="N35" s="307">
        <f t="shared" si="28"/>
        <v>9129.6862796078422</v>
      </c>
      <c r="O35" s="308">
        <f t="shared" si="29"/>
        <v>59079.526657575036</v>
      </c>
      <c r="P35" s="308">
        <f t="shared" si="30"/>
        <v>59079.526657575036</v>
      </c>
      <c r="Q35" s="308">
        <f t="shared" si="31"/>
        <v>59079.526657575036</v>
      </c>
      <c r="R35" s="308">
        <f t="shared" si="32"/>
        <v>84914.939440486094</v>
      </c>
      <c r="S35" s="310">
        <f t="shared" si="33"/>
        <v>274186.44574510067</v>
      </c>
      <c r="T35" s="307">
        <f t="shared" si="34"/>
        <v>-49949.840377967193</v>
      </c>
      <c r="U35" s="308">
        <f t="shared" si="35"/>
        <v>-49949.840377967193</v>
      </c>
      <c r="V35" s="308">
        <f t="shared" si="36"/>
        <v>-49949.840377967193</v>
      </c>
      <c r="W35" s="308">
        <f t="shared" si="37"/>
        <v>-75785.253160878259</v>
      </c>
      <c r="X35" s="310">
        <f t="shared" si="38"/>
        <v>-265056.75946549285</v>
      </c>
      <c r="Y35" s="311">
        <f ca="1">IF(AND(Y$22=TRUE,INDEX(CDRANGE_CLS2,MATCH($A35,$A$24:$A$67,0),MATCH(Y$20,$B$20:$G$20,0))&lt;$D$6/OPDAYS_Cls2),86,payback(C35,T35,disc_rate/12,85))</f>
        <v>86</v>
      </c>
      <c r="Z35" s="312">
        <f ca="1">IF(AND(Z$22=TRUE,INDEX(CDRANGE_CLS2,MATCH($A35,$A$24:$A$67,0),MATCH(Z$20,$B$20:$G$20,0))&lt;$D$6/OPDAYS_Cls2),86,payback(D35,U35,disc_rate/12,85))</f>
        <v>86</v>
      </c>
      <c r="AA35" s="312">
        <f ca="1">IF(AND(AA$22=TRUE,INDEX(CDRANGE_CLS2,MATCH($A35,$A$24:$A$67,0),MATCH(AA$20,$B$20:$G$20,0))&lt;$D$6/OPDAYS_Cls2),86,payback(E35,V35,disc_rate/12,85))</f>
        <v>86</v>
      </c>
      <c r="AB35" s="312">
        <f>IF(AND(AB$22=TRUE,INDEX(CDRANGE_CLS2,MATCH($A35,$A$24:$A$67,0),MATCH(AB$20,$B$20:$G$20,0))&lt;$D$6/OPDAYS_Cls2),86,payback(F35,W35,disc_rate/12,85))</f>
        <v>86</v>
      </c>
      <c r="AC35" s="313">
        <f ca="1">IF(AND(AC$22=TRUE,INDEX(CDRANGE_CLS2,MATCH($A35,$A$24:$A$67,0),MATCH(AC$20,$B$20:$G$20,0))&lt;$D$6/OPDAYS_Cls2),86,payback(G35,X35,disc_rate/12,85))</f>
        <v>86</v>
      </c>
      <c r="AD35" s="314">
        <f t="shared" si="39"/>
        <v>0</v>
      </c>
      <c r="AE35" s="315">
        <f t="shared" si="40"/>
        <v>0</v>
      </c>
      <c r="AF35" s="315">
        <f t="shared" si="41"/>
        <v>0</v>
      </c>
      <c r="AG35" s="315">
        <f t="shared" si="42"/>
        <v>0</v>
      </c>
      <c r="AH35" s="316">
        <f t="shared" si="43"/>
        <v>0</v>
      </c>
      <c r="AI35" s="317">
        <f t="shared" si="44"/>
        <v>0</v>
      </c>
      <c r="AJ35" s="318">
        <f t="shared" si="45"/>
        <v>0</v>
      </c>
      <c r="AK35" s="318">
        <f t="shared" si="46"/>
        <v>0</v>
      </c>
      <c r="AL35" s="318">
        <f t="shared" si="47"/>
        <v>0</v>
      </c>
      <c r="AM35" s="319">
        <f t="shared" si="48"/>
        <v>0</v>
      </c>
      <c r="AN35" s="317">
        <f t="shared" si="60"/>
        <v>0</v>
      </c>
      <c r="AO35" s="318">
        <f t="shared" si="49"/>
        <v>0</v>
      </c>
      <c r="AP35" s="318">
        <f t="shared" si="49"/>
        <v>0</v>
      </c>
      <c r="AQ35" s="318">
        <f t="shared" si="49"/>
        <v>0</v>
      </c>
      <c r="AR35" s="698">
        <f t="shared" si="49"/>
        <v>0</v>
      </c>
      <c r="AS35" s="300">
        <f t="shared" ca="1" si="50"/>
        <v>0</v>
      </c>
      <c r="AT35" s="301">
        <f t="shared" ca="1" si="51"/>
        <v>0</v>
      </c>
      <c r="AU35" s="301">
        <f t="shared" ca="1" si="52"/>
        <v>0</v>
      </c>
      <c r="AV35" s="301">
        <f t="shared" si="53"/>
        <v>0</v>
      </c>
      <c r="AW35" s="302">
        <f t="shared" ca="1" si="54"/>
        <v>0</v>
      </c>
      <c r="AX35" s="314">
        <f t="shared" ca="1" si="55"/>
        <v>0</v>
      </c>
      <c r="AY35" s="315">
        <f t="shared" ca="1" si="56"/>
        <v>0</v>
      </c>
      <c r="AZ35" s="315">
        <f t="shared" ca="1" si="57"/>
        <v>0</v>
      </c>
      <c r="BA35" s="301">
        <f t="shared" si="61"/>
        <v>0</v>
      </c>
      <c r="BB35" s="302">
        <f t="shared" ca="1" si="62"/>
        <v>0</v>
      </c>
      <c r="BC35" s="300">
        <f t="shared" ca="1" si="63"/>
        <v>1</v>
      </c>
      <c r="BD35" s="301">
        <f t="shared" ca="1" si="64"/>
        <v>0</v>
      </c>
      <c r="BE35" s="301">
        <f t="shared" ca="1" si="65"/>
        <v>0</v>
      </c>
      <c r="BF35" s="301">
        <f t="shared" ca="1" si="66"/>
        <v>0</v>
      </c>
      <c r="BG35" s="301">
        <f t="shared" ca="1" si="67"/>
        <v>0</v>
      </c>
      <c r="BH35" s="302">
        <f t="shared" ca="1" si="68"/>
        <v>0</v>
      </c>
    </row>
    <row r="36" spans="1:60" x14ac:dyDescent="0.2">
      <c r="A36" s="335">
        <v>2019</v>
      </c>
      <c r="B36" s="925">
        <f t="shared" si="69"/>
        <v>136900</v>
      </c>
      <c r="C36" s="926">
        <f t="shared" si="69"/>
        <v>1000000</v>
      </c>
      <c r="D36" s="926">
        <f t="shared" si="69"/>
        <v>1000000</v>
      </c>
      <c r="E36" s="926">
        <f t="shared" si="69"/>
        <v>1000000</v>
      </c>
      <c r="F36" s="926">
        <f t="shared" si="69"/>
        <v>1000000</v>
      </c>
      <c r="G36" s="927">
        <f t="shared" si="69"/>
        <v>1000000</v>
      </c>
      <c r="H36" s="1090">
        <f t="shared" si="70"/>
        <v>1</v>
      </c>
      <c r="I36" s="1091">
        <f t="shared" si="70"/>
        <v>1</v>
      </c>
      <c r="J36" s="1091">
        <f t="shared" si="70"/>
        <v>1</v>
      </c>
      <c r="K36" s="1091">
        <f t="shared" si="70"/>
        <v>1</v>
      </c>
      <c r="L36" s="1091">
        <f t="shared" si="70"/>
        <v>1</v>
      </c>
      <c r="M36" s="1092">
        <f t="shared" si="70"/>
        <v>1</v>
      </c>
      <c r="N36" s="307">
        <f t="shared" si="28"/>
        <v>8897.3687949218329</v>
      </c>
      <c r="O36" s="308">
        <f t="shared" si="29"/>
        <v>57957.8245547271</v>
      </c>
      <c r="P36" s="308">
        <f t="shared" si="30"/>
        <v>57957.8245547271</v>
      </c>
      <c r="Q36" s="308">
        <f t="shared" si="31"/>
        <v>57957.8245547271</v>
      </c>
      <c r="R36" s="308">
        <f t="shared" si="32"/>
        <v>90053.326271728569</v>
      </c>
      <c r="S36" s="310">
        <f t="shared" si="33"/>
        <v>274186.44574510067</v>
      </c>
      <c r="T36" s="307">
        <f t="shared" si="34"/>
        <v>-49060.455759805263</v>
      </c>
      <c r="U36" s="308">
        <f t="shared" si="35"/>
        <v>-49060.455759805263</v>
      </c>
      <c r="V36" s="308">
        <f t="shared" si="36"/>
        <v>-49060.455759805263</v>
      </c>
      <c r="W36" s="308">
        <f t="shared" si="37"/>
        <v>-81155.95747680674</v>
      </c>
      <c r="X36" s="310">
        <f t="shared" si="38"/>
        <v>-265289.07695017883</v>
      </c>
      <c r="Y36" s="311">
        <f ca="1">IF(AND(Y$22=TRUE,INDEX(CDRANGE_CLS2,MATCH($A36,$A$24:$A$67,0),MATCH(Y$20,$B$20:$G$20,0))&lt;$D$6/OPDAYS_Cls2),86,payback(C36,T36,disc_rate/12,85))</f>
        <v>86</v>
      </c>
      <c r="Z36" s="312">
        <f ca="1">IF(AND(Z$22=TRUE,INDEX(CDRANGE_CLS2,MATCH($A36,$A$24:$A$67,0),MATCH(Z$20,$B$20:$G$20,0))&lt;$D$6/OPDAYS_Cls2),86,payback(D36,U36,disc_rate/12,85))</f>
        <v>86</v>
      </c>
      <c r="AA36" s="312">
        <f ca="1">IF(AND(AA$22=TRUE,INDEX(CDRANGE_CLS2,MATCH($A36,$A$24:$A$67,0),MATCH(AA$20,$B$20:$G$20,0))&lt;$D$6/OPDAYS_Cls2),86,payback(E36,V36,disc_rate/12,85))</f>
        <v>86</v>
      </c>
      <c r="AB36" s="312">
        <f>IF(AND(AB$22=TRUE,INDEX(CDRANGE_CLS2,MATCH($A36,$A$24:$A$67,0),MATCH(AB$20,$B$20:$G$20,0))&lt;$D$6/OPDAYS_Cls2),86,payback(F36,W36,disc_rate/12,85))</f>
        <v>86</v>
      </c>
      <c r="AC36" s="313">
        <f ca="1">IF(AND(AC$22=TRUE,INDEX(CDRANGE_CLS2,MATCH($A36,$A$24:$A$67,0),MATCH(AC$20,$B$20:$G$20,0))&lt;$D$6/OPDAYS_Cls2),86,payback(G36,X36,disc_rate/12,85))</f>
        <v>86</v>
      </c>
      <c r="AD36" s="314">
        <f t="shared" si="39"/>
        <v>0</v>
      </c>
      <c r="AE36" s="315">
        <f t="shared" si="40"/>
        <v>0</v>
      </c>
      <c r="AF36" s="315">
        <f t="shared" si="41"/>
        <v>0</v>
      </c>
      <c r="AG36" s="315">
        <f t="shared" si="42"/>
        <v>0</v>
      </c>
      <c r="AH36" s="316">
        <f t="shared" si="43"/>
        <v>0</v>
      </c>
      <c r="AI36" s="317">
        <f t="shared" si="44"/>
        <v>0</v>
      </c>
      <c r="AJ36" s="318">
        <f t="shared" si="45"/>
        <v>0</v>
      </c>
      <c r="AK36" s="318">
        <f t="shared" si="46"/>
        <v>0</v>
      </c>
      <c r="AL36" s="318">
        <f t="shared" si="47"/>
        <v>0</v>
      </c>
      <c r="AM36" s="319">
        <f t="shared" si="48"/>
        <v>0</v>
      </c>
      <c r="AN36" s="317">
        <f t="shared" si="60"/>
        <v>0</v>
      </c>
      <c r="AO36" s="318">
        <f t="shared" si="49"/>
        <v>0</v>
      </c>
      <c r="AP36" s="318">
        <f t="shared" si="49"/>
        <v>0</v>
      </c>
      <c r="AQ36" s="318">
        <f t="shared" si="49"/>
        <v>0</v>
      </c>
      <c r="AR36" s="698">
        <f t="shared" si="49"/>
        <v>0</v>
      </c>
      <c r="AS36" s="300">
        <f t="shared" ca="1" si="50"/>
        <v>0</v>
      </c>
      <c r="AT36" s="301">
        <f t="shared" ca="1" si="51"/>
        <v>0</v>
      </c>
      <c r="AU36" s="301">
        <f t="shared" ca="1" si="52"/>
        <v>0</v>
      </c>
      <c r="AV36" s="301">
        <f t="shared" si="53"/>
        <v>0</v>
      </c>
      <c r="AW36" s="302">
        <f t="shared" ca="1" si="54"/>
        <v>0</v>
      </c>
      <c r="AX36" s="314">
        <f t="shared" ca="1" si="55"/>
        <v>0</v>
      </c>
      <c r="AY36" s="315">
        <f t="shared" ca="1" si="56"/>
        <v>0</v>
      </c>
      <c r="AZ36" s="315">
        <f t="shared" ca="1" si="57"/>
        <v>0</v>
      </c>
      <c r="BA36" s="301">
        <f t="shared" si="61"/>
        <v>0</v>
      </c>
      <c r="BB36" s="302">
        <f t="shared" ca="1" si="62"/>
        <v>0</v>
      </c>
      <c r="BC36" s="300">
        <f t="shared" ca="1" si="63"/>
        <v>1</v>
      </c>
      <c r="BD36" s="301">
        <f t="shared" ca="1" si="64"/>
        <v>0</v>
      </c>
      <c r="BE36" s="301">
        <f t="shared" ca="1" si="65"/>
        <v>0</v>
      </c>
      <c r="BF36" s="301">
        <f t="shared" ca="1" si="66"/>
        <v>0</v>
      </c>
      <c r="BG36" s="301">
        <f t="shared" ca="1" si="67"/>
        <v>0</v>
      </c>
      <c r="BH36" s="302">
        <f t="shared" ca="1" si="68"/>
        <v>0</v>
      </c>
    </row>
    <row r="37" spans="1:60" ht="13.5" thickBot="1" x14ac:dyDescent="0.25">
      <c r="A37" s="320">
        <v>2020</v>
      </c>
      <c r="B37" s="919">
        <f t="shared" si="69"/>
        <v>136900</v>
      </c>
      <c r="C37" s="920">
        <f t="shared" si="69"/>
        <v>1000000</v>
      </c>
      <c r="D37" s="920">
        <f t="shared" si="69"/>
        <v>1000000</v>
      </c>
      <c r="E37" s="920">
        <f t="shared" si="69"/>
        <v>1000000</v>
      </c>
      <c r="F37" s="920">
        <f t="shared" si="69"/>
        <v>1000000</v>
      </c>
      <c r="G37" s="921">
        <f t="shared" si="69"/>
        <v>1000000</v>
      </c>
      <c r="H37" s="1084">
        <f t="shared" si="70"/>
        <v>1</v>
      </c>
      <c r="I37" s="1085">
        <f t="shared" si="70"/>
        <v>1</v>
      </c>
      <c r="J37" s="1085">
        <f t="shared" si="70"/>
        <v>1</v>
      </c>
      <c r="K37" s="1085">
        <f t="shared" si="70"/>
        <v>1</v>
      </c>
      <c r="L37" s="1085">
        <f t="shared" si="70"/>
        <v>1</v>
      </c>
      <c r="M37" s="1086">
        <f t="shared" si="70"/>
        <v>1</v>
      </c>
      <c r="N37" s="321">
        <f t="shared" si="28"/>
        <v>9390.6055745102312</v>
      </c>
      <c r="O37" s="322">
        <f t="shared" si="29"/>
        <v>61734.578938484039</v>
      </c>
      <c r="P37" s="322">
        <f t="shared" si="30"/>
        <v>61734.578938484039</v>
      </c>
      <c r="Q37" s="322">
        <f t="shared" si="31"/>
        <v>61734.578938484039</v>
      </c>
      <c r="R37" s="322">
        <f t="shared" si="32"/>
        <v>181912.59808197731</v>
      </c>
      <c r="S37" s="324">
        <f t="shared" si="33"/>
        <v>274186.44574510067</v>
      </c>
      <c r="T37" s="321">
        <f t="shared" si="34"/>
        <v>-52343.973363973812</v>
      </c>
      <c r="U37" s="322">
        <f t="shared" si="35"/>
        <v>-52343.973363973812</v>
      </c>
      <c r="V37" s="322">
        <f t="shared" si="36"/>
        <v>-52343.973363973812</v>
      </c>
      <c r="W37" s="322">
        <f t="shared" si="37"/>
        <v>-172521.99250746708</v>
      </c>
      <c r="X37" s="324">
        <f t="shared" si="38"/>
        <v>-264795.84017059044</v>
      </c>
      <c r="Y37" s="325">
        <f ca="1">IF(AND(Y$22=TRUE,INDEX(CDRANGE_CLS2,MATCH($A37,$A$24:$A$67,0),MATCH(Y$20,$B$20:$G$20,0))&lt;$D$6/OPDAYS_Cls2),86,payback(C37,T37,disc_rate/12,85))</f>
        <v>86</v>
      </c>
      <c r="Z37" s="326">
        <f ca="1">IF(AND(Z$22=TRUE,INDEX(CDRANGE_CLS2,MATCH($A37,$A$24:$A$67,0),MATCH(Z$20,$B$20:$G$20,0))&lt;$D$6/OPDAYS_Cls2),86,payback(D37,U37,disc_rate/12,85))</f>
        <v>86</v>
      </c>
      <c r="AA37" s="326">
        <f ca="1">IF(AND(AA$22=TRUE,INDEX(CDRANGE_CLS2,MATCH($A37,$A$24:$A$67,0),MATCH(AA$20,$B$20:$G$20,0))&lt;$D$6/OPDAYS_Cls2),86,payback(E37,V37,disc_rate/12,85))</f>
        <v>86</v>
      </c>
      <c r="AB37" s="326">
        <f>IF(AND(AB$22=TRUE,INDEX(CDRANGE_CLS2,MATCH($A37,$A$24:$A$67,0),MATCH(AB$20,$B$20:$G$20,0))&lt;$D$6/OPDAYS_Cls2),86,payback(F37,W37,disc_rate/12,85))</f>
        <v>86</v>
      </c>
      <c r="AC37" s="327">
        <f ca="1">IF(AND(AC$22=TRUE,INDEX(CDRANGE_CLS2,MATCH($A37,$A$24:$A$67,0),MATCH(AC$20,$B$20:$G$20,0))&lt;$D$6/OPDAYS_Cls2),86,payback(G37,X37,disc_rate/12,85))</f>
        <v>86</v>
      </c>
      <c r="AD37" s="328">
        <f t="shared" si="39"/>
        <v>0</v>
      </c>
      <c r="AE37" s="329">
        <f t="shared" si="40"/>
        <v>0</v>
      </c>
      <c r="AF37" s="329">
        <f t="shared" si="41"/>
        <v>0</v>
      </c>
      <c r="AG37" s="329">
        <f t="shared" si="42"/>
        <v>0</v>
      </c>
      <c r="AH37" s="330">
        <f t="shared" si="43"/>
        <v>0</v>
      </c>
      <c r="AI37" s="331">
        <f t="shared" si="44"/>
        <v>0</v>
      </c>
      <c r="AJ37" s="332">
        <f t="shared" si="45"/>
        <v>0</v>
      </c>
      <c r="AK37" s="332">
        <f t="shared" si="46"/>
        <v>0</v>
      </c>
      <c r="AL37" s="332">
        <f t="shared" si="47"/>
        <v>0</v>
      </c>
      <c r="AM37" s="333">
        <f t="shared" si="48"/>
        <v>0</v>
      </c>
      <c r="AN37" s="730">
        <f t="shared" si="60"/>
        <v>0</v>
      </c>
      <c r="AO37" s="728">
        <f t="shared" si="49"/>
        <v>0</v>
      </c>
      <c r="AP37" s="728">
        <f t="shared" si="49"/>
        <v>0</v>
      </c>
      <c r="AQ37" s="728">
        <f t="shared" si="49"/>
        <v>0</v>
      </c>
      <c r="AR37" s="729">
        <f t="shared" si="49"/>
        <v>0</v>
      </c>
      <c r="AS37" s="337">
        <f t="shared" ca="1" si="50"/>
        <v>0</v>
      </c>
      <c r="AT37" s="338">
        <f t="shared" ca="1" si="51"/>
        <v>0</v>
      </c>
      <c r="AU37" s="338">
        <f t="shared" ca="1" si="52"/>
        <v>0</v>
      </c>
      <c r="AV37" s="338">
        <f t="shared" si="53"/>
        <v>0</v>
      </c>
      <c r="AW37" s="339">
        <f t="shared" ca="1" si="54"/>
        <v>0</v>
      </c>
      <c r="AX37" s="328">
        <f t="shared" ca="1" si="55"/>
        <v>0</v>
      </c>
      <c r="AY37" s="329">
        <f t="shared" ca="1" si="56"/>
        <v>0</v>
      </c>
      <c r="AZ37" s="329">
        <f t="shared" ca="1" si="57"/>
        <v>0</v>
      </c>
      <c r="BA37" s="329">
        <f t="shared" si="61"/>
        <v>0</v>
      </c>
      <c r="BB37" s="330">
        <f t="shared" ca="1" si="62"/>
        <v>0</v>
      </c>
      <c r="BC37" s="328">
        <f t="shared" ca="1" si="63"/>
        <v>1</v>
      </c>
      <c r="BD37" s="329">
        <f t="shared" ca="1" si="64"/>
        <v>0</v>
      </c>
      <c r="BE37" s="329">
        <f t="shared" ca="1" si="65"/>
        <v>0</v>
      </c>
      <c r="BF37" s="329">
        <f t="shared" ca="1" si="66"/>
        <v>0</v>
      </c>
      <c r="BG37" s="329">
        <f t="shared" ca="1" si="67"/>
        <v>0</v>
      </c>
      <c r="BH37" s="330">
        <f t="shared" ca="1" si="68"/>
        <v>0</v>
      </c>
    </row>
    <row r="38" spans="1:60" x14ac:dyDescent="0.2">
      <c r="A38" s="334">
        <v>2021</v>
      </c>
      <c r="B38" s="922">
        <f t="shared" si="69"/>
        <v>137205.79</v>
      </c>
      <c r="C38" s="923">
        <f t="shared" si="69"/>
        <v>1120.5899999999999</v>
      </c>
      <c r="D38" s="923">
        <f t="shared" si="69"/>
        <v>2646.16</v>
      </c>
      <c r="E38" s="923">
        <f t="shared" si="69"/>
        <v>197847.31</v>
      </c>
      <c r="F38" s="923">
        <f t="shared" si="69"/>
        <v>355973.77</v>
      </c>
      <c r="G38" s="924">
        <f t="shared" si="69"/>
        <v>167338.79999999999</v>
      </c>
      <c r="H38" s="1087">
        <f t="shared" si="70"/>
        <v>1</v>
      </c>
      <c r="I38" s="1088">
        <f t="shared" si="70"/>
        <v>1</v>
      </c>
      <c r="J38" s="1088">
        <f t="shared" si="70"/>
        <v>1</v>
      </c>
      <c r="K38" s="1088">
        <f t="shared" si="70"/>
        <v>0.84828067940018892</v>
      </c>
      <c r="L38" s="1088">
        <f t="shared" si="70"/>
        <v>1</v>
      </c>
      <c r="M38" s="1089">
        <f t="shared" si="70"/>
        <v>1</v>
      </c>
      <c r="N38" s="1455">
        <f t="shared" si="28"/>
        <v>9399.0051872448439</v>
      </c>
      <c r="O38" s="1456">
        <f t="shared" si="29"/>
        <v>9210.9682570680106</v>
      </c>
      <c r="P38" s="1456">
        <f t="shared" si="30"/>
        <v>9204.6188749003977</v>
      </c>
      <c r="Q38" s="1456">
        <f t="shared" si="31"/>
        <v>11274.527036479778</v>
      </c>
      <c r="R38" s="1456">
        <f t="shared" si="32"/>
        <v>13208.051579951138</v>
      </c>
      <c r="S38" s="1457">
        <f t="shared" si="33"/>
        <v>39748.214725944388</v>
      </c>
      <c r="T38" s="1455">
        <f t="shared" si="34"/>
        <v>188.03693017683327</v>
      </c>
      <c r="U38" s="1456">
        <f t="shared" si="35"/>
        <v>194.3863123444462</v>
      </c>
      <c r="V38" s="1456">
        <f t="shared" si="36"/>
        <v>-1875.5218492349341</v>
      </c>
      <c r="W38" s="1456">
        <f t="shared" si="37"/>
        <v>-3809.0463927062938</v>
      </c>
      <c r="X38" s="296">
        <f t="shared" si="38"/>
        <v>-30349.209538699542</v>
      </c>
      <c r="Y38" s="297">
        <f ca="1">IF(AND(Y$22=TRUE,INDEX(CDRANGE_CLS2,MATCH($A38,$A$24:$A$67,0),MATCH(Y$20,$B$20:$G$20,0))&lt;$D$6/OPDAYS_Cls2),86,payback(C38,T38,disc_rate/12,85))</f>
        <v>7</v>
      </c>
      <c r="Z38" s="298">
        <f ca="1">IF(AND(Z$22=TRUE,INDEX(CDRANGE_CLS2,MATCH($A38,$A$24:$A$67,0),MATCH(Z$20,$B$20:$G$20,0))&lt;$D$6/OPDAYS_Cls2),86,payback(D38,U38,disc_rate/12,85))</f>
        <v>15</v>
      </c>
      <c r="AA38" s="298">
        <f ca="1">IF(AND(AA$22=TRUE,INDEX(CDRANGE_CLS2,MATCH($A38,$A$24:$A$67,0),MATCH(AA$20,$B$20:$G$20,0))&lt;$D$6/OPDAYS_Cls2),86,payback(E38,V38,disc_rate/12,85))</f>
        <v>86</v>
      </c>
      <c r="AB38" s="298">
        <f>IF(AND(AB$22=TRUE,INDEX(CDRANGE_CLS2,MATCH($A38,$A$24:$A$67,0),MATCH(AB$20,$B$20:$G$20,0))&lt;$D$6/OPDAYS_Cls2),86,payback(F38,W38,disc_rate/12,85))</f>
        <v>86</v>
      </c>
      <c r="AC38" s="299">
        <f ca="1">IF(AND(AC$22=TRUE,INDEX(CDRANGE_CLS2,MATCH($A38,$A$24:$A$67,0),MATCH(AC$20,$B$20:$G$20,0))&lt;$D$6/OPDAYS_Cls2),86,payback(G38,X38,disc_rate/12,85))</f>
        <v>86</v>
      </c>
      <c r="AD38" s="300">
        <f t="shared" si="39"/>
        <v>2.3711489310161437E-2</v>
      </c>
      <c r="AE38" s="301">
        <f t="shared" si="40"/>
        <v>2.2501954482207008E-2</v>
      </c>
      <c r="AF38" s="301">
        <f t="shared" si="41"/>
        <v>0</v>
      </c>
      <c r="AG38" s="301">
        <f t="shared" si="42"/>
        <v>0</v>
      </c>
      <c r="AH38" s="302">
        <f t="shared" si="43"/>
        <v>0</v>
      </c>
      <c r="AI38" s="303">
        <f t="shared" si="44"/>
        <v>2.3712936588783391E-2</v>
      </c>
      <c r="AJ38" s="304">
        <f t="shared" si="45"/>
        <v>2.3712936588783391E-2</v>
      </c>
      <c r="AK38" s="304">
        <f t="shared" si="46"/>
        <v>2.3712936588783391E-2</v>
      </c>
      <c r="AL38" s="304">
        <f t="shared" si="47"/>
        <v>1.4366941996126522E-3</v>
      </c>
      <c r="AM38" s="305">
        <f t="shared" si="48"/>
        <v>0</v>
      </c>
      <c r="AN38" s="743">
        <f t="shared" si="60"/>
        <v>0.99981472967093798</v>
      </c>
      <c r="AO38" s="741">
        <f t="shared" si="49"/>
        <v>0.99896733255778014</v>
      </c>
      <c r="AP38" s="741">
        <f t="shared" si="49"/>
        <v>3.1016833227346385E-3</v>
      </c>
      <c r="AQ38" s="741">
        <f t="shared" si="49"/>
        <v>7.5802584209583301E-9</v>
      </c>
      <c r="AR38" s="742">
        <f t="shared" si="49"/>
        <v>1.6052942907732071E-2</v>
      </c>
      <c r="AS38" s="300">
        <f t="shared" ca="1" si="50"/>
        <v>4.7270661830334203E-2</v>
      </c>
      <c r="AT38" s="301">
        <f t="shared" ca="1" si="51"/>
        <v>3.9967453333735276E-2</v>
      </c>
      <c r="AU38" s="301">
        <f t="shared" ca="1" si="52"/>
        <v>0</v>
      </c>
      <c r="AV38" s="301">
        <f t="shared" si="53"/>
        <v>0</v>
      </c>
      <c r="AW38" s="302">
        <f t="shared" ca="1" si="54"/>
        <v>0</v>
      </c>
      <c r="AX38" s="300">
        <f t="shared" ca="1" si="55"/>
        <v>4.7261903979261916E-2</v>
      </c>
      <c r="AY38" s="301">
        <f t="shared" ca="1" si="56"/>
        <v>3.9926180245929088E-2</v>
      </c>
      <c r="AZ38" s="301">
        <f t="shared" ca="1" si="57"/>
        <v>0</v>
      </c>
      <c r="BA38" s="301">
        <f t="shared" si="61"/>
        <v>0</v>
      </c>
      <c r="BB38" s="302">
        <f t="shared" ca="1" si="62"/>
        <v>0</v>
      </c>
      <c r="BC38" s="300">
        <f t="shared" ca="1" si="63"/>
        <v>0.95273809602073811</v>
      </c>
      <c r="BD38" s="301">
        <f t="shared" ca="1" si="64"/>
        <v>2.5619183946922877E-2</v>
      </c>
      <c r="BE38" s="301">
        <f t="shared" ca="1" si="65"/>
        <v>2.1642720032339035E-2</v>
      </c>
      <c r="BF38" s="301">
        <f t="shared" ca="1" si="66"/>
        <v>0</v>
      </c>
      <c r="BG38" s="301">
        <f t="shared" ca="1" si="67"/>
        <v>0</v>
      </c>
      <c r="BH38" s="302">
        <f t="shared" ca="1" si="68"/>
        <v>0</v>
      </c>
    </row>
    <row r="39" spans="1:60" x14ac:dyDescent="0.2">
      <c r="A39" s="335">
        <v>2022</v>
      </c>
      <c r="B39" s="925">
        <f t="shared" si="69"/>
        <v>137511.57999999999</v>
      </c>
      <c r="C39" s="926">
        <f t="shared" si="69"/>
        <v>2241.1799999999998</v>
      </c>
      <c r="D39" s="926">
        <f t="shared" si="69"/>
        <v>3521.06</v>
      </c>
      <c r="E39" s="926">
        <f t="shared" si="69"/>
        <v>166082.54999999999</v>
      </c>
      <c r="F39" s="926">
        <f t="shared" si="69"/>
        <v>298100.67</v>
      </c>
      <c r="G39" s="927">
        <f t="shared" si="69"/>
        <v>144302.41</v>
      </c>
      <c r="H39" s="1090">
        <f t="shared" si="70"/>
        <v>1</v>
      </c>
      <c r="I39" s="1091">
        <f t="shared" si="70"/>
        <v>1</v>
      </c>
      <c r="J39" s="1091">
        <f t="shared" si="70"/>
        <v>1</v>
      </c>
      <c r="K39" s="1091">
        <f t="shared" si="70"/>
        <v>0.84772039251442688</v>
      </c>
      <c r="L39" s="1091">
        <f t="shared" si="70"/>
        <v>1</v>
      </c>
      <c r="M39" s="1092">
        <f t="shared" si="70"/>
        <v>1</v>
      </c>
      <c r="N39" s="1458">
        <f t="shared" si="28"/>
        <v>9194.2290388559068</v>
      </c>
      <c r="O39" s="276">
        <f t="shared" si="29"/>
        <v>8839.9420863181658</v>
      </c>
      <c r="P39" s="276">
        <f t="shared" si="30"/>
        <v>8827.6627843898532</v>
      </c>
      <c r="Q39" s="276">
        <f t="shared" si="31"/>
        <v>10729.787463525785</v>
      </c>
      <c r="R39" s="276">
        <f t="shared" si="32"/>
        <v>13041.533691548726</v>
      </c>
      <c r="S39" s="1459">
        <f t="shared" si="33"/>
        <v>38406.833684078774</v>
      </c>
      <c r="T39" s="1458">
        <f t="shared" si="34"/>
        <v>354.28695253774094</v>
      </c>
      <c r="U39" s="276">
        <f t="shared" si="35"/>
        <v>366.56625446605358</v>
      </c>
      <c r="V39" s="276">
        <f t="shared" si="36"/>
        <v>-1535.5584246698781</v>
      </c>
      <c r="W39" s="276">
        <f t="shared" si="37"/>
        <v>-3847.3046526928192</v>
      </c>
      <c r="X39" s="310">
        <f t="shared" si="38"/>
        <v>-29212.604645222869</v>
      </c>
      <c r="Y39" s="311">
        <f ca="1">IF(AND(Y$22=TRUE,INDEX(CDRANGE_CLS2,MATCH($A39,$A$24:$A$67,0),MATCH(Y$20,$B$20:$G$20,0))&lt;$D$6/OPDAYS_Cls2),86,payback(C39,T39,disc_rate/12,85))</f>
        <v>7</v>
      </c>
      <c r="Z39" s="312">
        <f ca="1">IF(AND(Z$22=TRUE,INDEX(CDRANGE_CLS2,MATCH($A39,$A$24:$A$67,0),MATCH(Z$20,$B$20:$G$20,0))&lt;$D$6/OPDAYS_Cls2),86,payback(D39,U39,disc_rate/12,85))</f>
        <v>10</v>
      </c>
      <c r="AA39" s="312">
        <f ca="1">IF(AND(AA$22=TRUE,INDEX(CDRANGE_CLS2,MATCH($A39,$A$24:$A$67,0),MATCH(AA$20,$B$20:$G$20,0))&lt;$D$6/OPDAYS_Cls2),86,payback(E39,V39,disc_rate/12,85))</f>
        <v>86</v>
      </c>
      <c r="AB39" s="312">
        <f>IF(AND(AB$22=TRUE,INDEX(CDRANGE_CLS2,MATCH($A39,$A$24:$A$67,0),MATCH(AB$20,$B$20:$G$20,0))&lt;$D$6/OPDAYS_Cls2),86,payback(F39,W39,disc_rate/12,85))</f>
        <v>86</v>
      </c>
      <c r="AC39" s="313">
        <f ca="1">IF(AND(AC$22=TRUE,INDEX(CDRANGE_CLS2,MATCH($A39,$A$24:$A$67,0),MATCH(AC$20,$B$20:$G$20,0))&lt;$D$6/OPDAYS_Cls2),86,payback(G39,X39,disc_rate/12,85))</f>
        <v>86</v>
      </c>
      <c r="AD39" s="314">
        <f t="shared" si="39"/>
        <v>5.8893908261703612E-2</v>
      </c>
      <c r="AE39" s="315">
        <f t="shared" si="40"/>
        <v>4.0244936052977236E-2</v>
      </c>
      <c r="AF39" s="315">
        <f t="shared" si="41"/>
        <v>0</v>
      </c>
      <c r="AG39" s="315">
        <f t="shared" si="42"/>
        <v>0</v>
      </c>
      <c r="AH39" s="316">
        <f t="shared" si="43"/>
        <v>0</v>
      </c>
      <c r="AI39" s="317">
        <f t="shared" si="44"/>
        <v>5.9601461011058773E-2</v>
      </c>
      <c r="AJ39" s="318">
        <f t="shared" si="45"/>
        <v>5.9601461011058773E-2</v>
      </c>
      <c r="AK39" s="318">
        <f t="shared" si="46"/>
        <v>5.9601461011058773E-2</v>
      </c>
      <c r="AL39" s="318">
        <f t="shared" si="47"/>
        <v>5.5824993187033227E-3</v>
      </c>
      <c r="AM39" s="319">
        <f t="shared" si="48"/>
        <v>0</v>
      </c>
      <c r="AN39" s="317">
        <f t="shared" si="60"/>
        <v>0.99926241475958566</v>
      </c>
      <c r="AO39" s="318">
        <f t="shared" si="49"/>
        <v>0.99818042320214884</v>
      </c>
      <c r="AP39" s="318">
        <f t="shared" si="49"/>
        <v>1.7387965919802295E-2</v>
      </c>
      <c r="AQ39" s="318">
        <f t="shared" si="49"/>
        <v>2.1414281323739459E-6</v>
      </c>
      <c r="AR39" s="698">
        <f t="shared" si="49"/>
        <v>4.6939020974193224E-2</v>
      </c>
      <c r="AS39" s="300">
        <f t="shared" ca="1" si="50"/>
        <v>0.11881280487969106</v>
      </c>
      <c r="AT39" s="301">
        <f t="shared" ca="1" si="51"/>
        <v>0.11455764279015102</v>
      </c>
      <c r="AU39" s="301">
        <f t="shared" ca="1" si="52"/>
        <v>0</v>
      </c>
      <c r="AV39" s="301">
        <f t="shared" si="53"/>
        <v>0</v>
      </c>
      <c r="AW39" s="302">
        <f t="shared" ca="1" si="54"/>
        <v>0</v>
      </c>
      <c r="AX39" s="314">
        <f t="shared" ca="1" si="55"/>
        <v>0.11872517030843957</v>
      </c>
      <c r="AY39" s="315">
        <f t="shared" ca="1" si="56"/>
        <v>0.11434919636131353</v>
      </c>
      <c r="AZ39" s="315">
        <f t="shared" ca="1" si="57"/>
        <v>0</v>
      </c>
      <c r="BA39" s="301">
        <f t="shared" si="61"/>
        <v>0</v>
      </c>
      <c r="BB39" s="302">
        <f t="shared" ca="1" si="62"/>
        <v>0</v>
      </c>
      <c r="BC39" s="300">
        <f t="shared" ca="1" si="63"/>
        <v>0.88127482969156046</v>
      </c>
      <c r="BD39" s="301">
        <f t="shared" ca="1" si="64"/>
        <v>6.0477118381449313E-2</v>
      </c>
      <c r="BE39" s="301">
        <f t="shared" ca="1" si="65"/>
        <v>5.8248051926990264E-2</v>
      </c>
      <c r="BF39" s="301">
        <f t="shared" ca="1" si="66"/>
        <v>0</v>
      </c>
      <c r="BG39" s="301">
        <f t="shared" ca="1" si="67"/>
        <v>0</v>
      </c>
      <c r="BH39" s="302">
        <f t="shared" ca="1" si="68"/>
        <v>0</v>
      </c>
    </row>
    <row r="40" spans="1:60" x14ac:dyDescent="0.2">
      <c r="A40" s="335">
        <v>2023</v>
      </c>
      <c r="B40" s="925">
        <f t="shared" si="69"/>
        <v>137817.37</v>
      </c>
      <c r="C40" s="926">
        <f t="shared" si="69"/>
        <v>3361.77</v>
      </c>
      <c r="D40" s="926">
        <f t="shared" si="69"/>
        <v>4395.95</v>
      </c>
      <c r="E40" s="926">
        <f t="shared" si="69"/>
        <v>134317.79999999999</v>
      </c>
      <c r="F40" s="926">
        <f t="shared" si="69"/>
        <v>240227.56</v>
      </c>
      <c r="G40" s="927">
        <f t="shared" si="69"/>
        <v>121266.01</v>
      </c>
      <c r="H40" s="1090">
        <f t="shared" si="70"/>
        <v>1</v>
      </c>
      <c r="I40" s="1091">
        <f t="shared" si="70"/>
        <v>1</v>
      </c>
      <c r="J40" s="1091">
        <f t="shared" si="70"/>
        <v>1</v>
      </c>
      <c r="K40" s="1091">
        <f t="shared" si="70"/>
        <v>0.84716010562866484</v>
      </c>
      <c r="L40" s="1091">
        <f t="shared" si="70"/>
        <v>1</v>
      </c>
      <c r="M40" s="1092">
        <f t="shared" si="70"/>
        <v>1</v>
      </c>
      <c r="N40" s="1458">
        <f t="shared" si="28"/>
        <v>9181.4787034316087</v>
      </c>
      <c r="O40" s="276">
        <f t="shared" si="29"/>
        <v>8669.6959119768417</v>
      </c>
      <c r="P40" s="276">
        <f t="shared" si="30"/>
        <v>8652.0264973711983</v>
      </c>
      <c r="Q40" s="276">
        <f t="shared" si="31"/>
        <v>10409.587191420946</v>
      </c>
      <c r="R40" s="276">
        <f t="shared" si="32"/>
        <v>12869.573534320027</v>
      </c>
      <c r="S40" s="1459">
        <f t="shared" si="33"/>
        <v>33216.030345085273</v>
      </c>
      <c r="T40" s="1458">
        <f t="shared" si="34"/>
        <v>511.78279145476699</v>
      </c>
      <c r="U40" s="276">
        <f t="shared" si="35"/>
        <v>529.45220606041039</v>
      </c>
      <c r="V40" s="276">
        <f t="shared" si="36"/>
        <v>-1228.1084879893369</v>
      </c>
      <c r="W40" s="276">
        <f t="shared" si="37"/>
        <v>-3688.0948308884181</v>
      </c>
      <c r="X40" s="310">
        <f t="shared" si="38"/>
        <v>-24034.551641653663</v>
      </c>
      <c r="Y40" s="311">
        <f ca="1">IF(AND(Y$22=TRUE,INDEX(CDRANGE_CLS2,MATCH($A40,$A$24:$A$67,0),MATCH(Y$20,$B$20:$G$20,0))&lt;$D$6/OPDAYS_Cls2),86,payback(C40,T40,disc_rate/12,85))</f>
        <v>7</v>
      </c>
      <c r="Z40" s="312">
        <f ca="1">IF(AND(Z$22=TRUE,INDEX(CDRANGE_CLS2,MATCH($A40,$A$24:$A$67,0),MATCH(Z$20,$B$20:$G$20,0))&lt;$D$6/OPDAYS_Cls2),86,payback(D40,U40,disc_rate/12,85))</f>
        <v>9</v>
      </c>
      <c r="AA40" s="312">
        <f ca="1">IF(AND(AA$22=TRUE,INDEX(CDRANGE_CLS2,MATCH($A40,$A$24:$A$67,0),MATCH(AA$20,$B$20:$G$20,0))&lt;$D$6/OPDAYS_Cls2),86,payback(E40,V40,disc_rate/12,85))</f>
        <v>86</v>
      </c>
      <c r="AB40" s="312">
        <f>IF(AND(AB$22=TRUE,INDEX(CDRANGE_CLS2,MATCH($A40,$A$24:$A$67,0),MATCH(AB$20,$B$20:$G$20,0))&lt;$D$6/OPDAYS_Cls2),86,payback(F40,W40,disc_rate/12,85))</f>
        <v>86</v>
      </c>
      <c r="AC40" s="313">
        <f ca="1">IF(AND(AC$22=TRUE,INDEX(CDRANGE_CLS2,MATCH($A40,$A$24:$A$67,0),MATCH(AC$20,$B$20:$G$20,0))&lt;$D$6/OPDAYS_Cls2),86,payback(G40,X40,disc_rate/12,85))</f>
        <v>86</v>
      </c>
      <c r="AD40" s="314">
        <f t="shared" si="39"/>
        <v>0.10644090721024145</v>
      </c>
      <c r="AE40" s="315">
        <f t="shared" si="40"/>
        <v>2.0672957039593567E-2</v>
      </c>
      <c r="AF40" s="315">
        <f t="shared" si="41"/>
        <v>0</v>
      </c>
      <c r="AG40" s="315">
        <f t="shared" si="42"/>
        <v>0</v>
      </c>
      <c r="AH40" s="316">
        <f t="shared" si="43"/>
        <v>0</v>
      </c>
      <c r="AI40" s="317">
        <f t="shared" si="44"/>
        <v>0.13447071068499755</v>
      </c>
      <c r="AJ40" s="318">
        <f t="shared" si="45"/>
        <v>0.13447071068499755</v>
      </c>
      <c r="AK40" s="318">
        <f t="shared" si="46"/>
        <v>0.13447071068499755</v>
      </c>
      <c r="AL40" s="318">
        <f t="shared" si="47"/>
        <v>1.6345353345693502E-2</v>
      </c>
      <c r="AM40" s="319">
        <f t="shared" si="48"/>
        <v>0</v>
      </c>
      <c r="AN40" s="317">
        <f t="shared" si="60"/>
        <v>0.99834854508424764</v>
      </c>
      <c r="AO40" s="318">
        <f t="shared" si="60"/>
        <v>0.99717784069203363</v>
      </c>
      <c r="AP40" s="318">
        <f t="shared" si="60"/>
        <v>7.1468554786606964E-2</v>
      </c>
      <c r="AQ40" s="318">
        <f t="shared" si="60"/>
        <v>2.1608039479859009E-4</v>
      </c>
      <c r="AR40" s="698">
        <f t="shared" si="60"/>
        <v>0.11640960818605151</v>
      </c>
      <c r="AS40" s="300">
        <f t="shared" ca="1" si="50"/>
        <v>0.26806125285562332</v>
      </c>
      <c r="AT40" s="301">
        <f t="shared" ca="1" si="51"/>
        <v>0.2626468935812345</v>
      </c>
      <c r="AU40" s="301">
        <f t="shared" ca="1" si="52"/>
        <v>0</v>
      </c>
      <c r="AV40" s="301">
        <f t="shared" si="53"/>
        <v>0</v>
      </c>
      <c r="AW40" s="302">
        <f t="shared" ca="1" si="54"/>
        <v>0</v>
      </c>
      <c r="AX40" s="314">
        <f t="shared" ca="1" si="55"/>
        <v>0.26761856178187216</v>
      </c>
      <c r="AY40" s="315">
        <f t="shared" ca="1" si="56"/>
        <v>0.26190566220580574</v>
      </c>
      <c r="AZ40" s="315">
        <f t="shared" ca="1" si="57"/>
        <v>0</v>
      </c>
      <c r="BA40" s="301">
        <f t="shared" si="61"/>
        <v>0</v>
      </c>
      <c r="BB40" s="302">
        <f t="shared" ca="1" si="62"/>
        <v>0</v>
      </c>
      <c r="BC40" s="300">
        <f t="shared" ca="1" si="63"/>
        <v>0.73238143821812784</v>
      </c>
      <c r="BD40" s="301">
        <f t="shared" ca="1" si="64"/>
        <v>0.135252914533074</v>
      </c>
      <c r="BE40" s="301">
        <f t="shared" ca="1" si="65"/>
        <v>0.13236564724879815</v>
      </c>
      <c r="BF40" s="301">
        <f t="shared" ca="1" si="66"/>
        <v>0</v>
      </c>
      <c r="BG40" s="301">
        <f t="shared" ca="1" si="67"/>
        <v>0</v>
      </c>
      <c r="BH40" s="302">
        <f t="shared" ca="1" si="68"/>
        <v>0</v>
      </c>
    </row>
    <row r="41" spans="1:60" x14ac:dyDescent="0.2">
      <c r="A41" s="335">
        <v>2024</v>
      </c>
      <c r="B41" s="925">
        <f t="shared" si="69"/>
        <v>138123.16</v>
      </c>
      <c r="C41" s="926">
        <f t="shared" si="69"/>
        <v>4482.3599999999997</v>
      </c>
      <c r="D41" s="926">
        <f t="shared" si="69"/>
        <v>5270.85</v>
      </c>
      <c r="E41" s="926">
        <f t="shared" si="69"/>
        <v>102553.04</v>
      </c>
      <c r="F41" s="926">
        <f t="shared" si="69"/>
        <v>182354.46</v>
      </c>
      <c r="G41" s="927">
        <f t="shared" si="69"/>
        <v>98229.62</v>
      </c>
      <c r="H41" s="1090">
        <f t="shared" si="70"/>
        <v>1</v>
      </c>
      <c r="I41" s="1091">
        <f t="shared" si="70"/>
        <v>1</v>
      </c>
      <c r="J41" s="1091">
        <f t="shared" si="70"/>
        <v>1</v>
      </c>
      <c r="K41" s="1091">
        <f t="shared" si="70"/>
        <v>0.8465998187429028</v>
      </c>
      <c r="L41" s="1091">
        <f t="shared" si="70"/>
        <v>1</v>
      </c>
      <c r="M41" s="1092">
        <f t="shared" si="70"/>
        <v>1</v>
      </c>
      <c r="N41" s="1458">
        <f t="shared" si="28"/>
        <v>9221.223309354431</v>
      </c>
      <c r="O41" s="276">
        <f t="shared" si="29"/>
        <v>8559.4731150929147</v>
      </c>
      <c r="P41" s="276">
        <f t="shared" si="30"/>
        <v>8536.8620425249046</v>
      </c>
      <c r="Q41" s="276">
        <f t="shared" si="31"/>
        <v>10149.484584117643</v>
      </c>
      <c r="R41" s="276">
        <f t="shared" si="32"/>
        <v>12588.440205234681</v>
      </c>
      <c r="S41" s="1459">
        <f t="shared" si="33"/>
        <v>23102.336486546781</v>
      </c>
      <c r="T41" s="1458">
        <f t="shared" si="34"/>
        <v>661.7501942615163</v>
      </c>
      <c r="U41" s="276">
        <f t="shared" si="35"/>
        <v>684.36126682952636</v>
      </c>
      <c r="V41" s="276">
        <f t="shared" si="36"/>
        <v>-928.26127476321199</v>
      </c>
      <c r="W41" s="276">
        <f t="shared" si="37"/>
        <v>-3367.2168958802504</v>
      </c>
      <c r="X41" s="310">
        <f t="shared" si="38"/>
        <v>-13881.11317719235</v>
      </c>
      <c r="Y41" s="311">
        <f ca="1">IF(AND(Y$22=TRUE,INDEX(CDRANGE_CLS2,MATCH($A41,$A$24:$A$67,0),MATCH(Y$20,$B$20:$G$20,0))&lt;$D$6/OPDAYS_Cls2),86,payback(C41,T41,disc_rate/12,85))</f>
        <v>7</v>
      </c>
      <c r="Z41" s="312">
        <f ca="1">IF(AND(Z$22=TRUE,INDEX(CDRANGE_CLS2,MATCH($A41,$A$24:$A$67,0),MATCH(Z$20,$B$20:$G$20,0))&lt;$D$6/OPDAYS_Cls2),86,payback(D41,U41,disc_rate/12,85))</f>
        <v>8</v>
      </c>
      <c r="AA41" s="312">
        <f ca="1">IF(AND(AA$22=TRUE,INDEX(CDRANGE_CLS2,MATCH($A41,$A$24:$A$67,0),MATCH(AA$20,$B$20:$G$20,0))&lt;$D$6/OPDAYS_Cls2),86,payback(E41,V41,disc_rate/12,85))</f>
        <v>86</v>
      </c>
      <c r="AB41" s="312">
        <f>IF(AND(AB$22=TRUE,INDEX(CDRANGE_CLS2,MATCH($A41,$A$24:$A$67,0),MATCH(AB$20,$B$20:$G$20,0))&lt;$D$6/OPDAYS_Cls2),86,payback(F41,W41,disc_rate/12,85))</f>
        <v>86</v>
      </c>
      <c r="AC41" s="313">
        <f ca="1">IF(AND(AC$22=TRUE,INDEX(CDRANGE_CLS2,MATCH($A41,$A$24:$A$67,0),MATCH(AC$20,$B$20:$G$20,0))&lt;$D$6/OPDAYS_Cls2),86,payback(G41,X41,disc_rate/12,85))</f>
        <v>86</v>
      </c>
      <c r="AD41" s="314">
        <f t="shared" si="39"/>
        <v>3.8433940250417631E-2</v>
      </c>
      <c r="AE41" s="315">
        <f t="shared" si="40"/>
        <v>0</v>
      </c>
      <c r="AF41" s="315">
        <f t="shared" si="41"/>
        <v>0</v>
      </c>
      <c r="AG41" s="315">
        <f t="shared" si="42"/>
        <v>0</v>
      </c>
      <c r="AH41" s="316">
        <f t="shared" si="43"/>
        <v>0</v>
      </c>
      <c r="AI41" s="317">
        <f t="shared" si="44"/>
        <v>0.25</v>
      </c>
      <c r="AJ41" s="318">
        <f t="shared" si="45"/>
        <v>0.25</v>
      </c>
      <c r="AK41" s="318">
        <f t="shared" si="46"/>
        <v>0.25</v>
      </c>
      <c r="AL41" s="318">
        <f t="shared" si="47"/>
        <v>3.861338448859282E-2</v>
      </c>
      <c r="AM41" s="319">
        <f t="shared" si="48"/>
        <v>0</v>
      </c>
      <c r="AN41" s="317">
        <f t="shared" si="60"/>
        <v>0.99707892385054442</v>
      </c>
      <c r="AO41" s="318">
        <f t="shared" si="60"/>
        <v>0.99596310249635522</v>
      </c>
      <c r="AP41" s="318">
        <f t="shared" si="60"/>
        <v>0.2162533755682291</v>
      </c>
      <c r="AQ41" s="318">
        <f t="shared" si="60"/>
        <v>7.8936770691019342E-3</v>
      </c>
      <c r="AR41" s="698">
        <f t="shared" si="60"/>
        <v>0.24538841639763576</v>
      </c>
      <c r="AS41" s="300">
        <f t="shared" ca="1" si="50"/>
        <v>0.49836364270351485</v>
      </c>
      <c r="AT41" s="301">
        <f t="shared" ca="1" si="51"/>
        <v>0.49432498000690822</v>
      </c>
      <c r="AU41" s="301">
        <f t="shared" ca="1" si="52"/>
        <v>0</v>
      </c>
      <c r="AV41" s="301">
        <f t="shared" si="53"/>
        <v>0</v>
      </c>
      <c r="AW41" s="302">
        <f t="shared" ca="1" si="54"/>
        <v>0</v>
      </c>
      <c r="AX41" s="314">
        <f t="shared" ca="1" si="55"/>
        <v>0.49690788455305779</v>
      </c>
      <c r="AY41" s="315">
        <f t="shared" ca="1" si="56"/>
        <v>0.4923294407291291</v>
      </c>
      <c r="AZ41" s="315">
        <f t="shared" ca="1" si="57"/>
        <v>0</v>
      </c>
      <c r="BA41" s="301">
        <f t="shared" si="61"/>
        <v>0</v>
      </c>
      <c r="BB41" s="302">
        <f t="shared" ca="1" si="62"/>
        <v>0</v>
      </c>
      <c r="BC41" s="300">
        <f t="shared" ca="1" si="63"/>
        <v>0.50309211544694221</v>
      </c>
      <c r="BD41" s="301">
        <f t="shared" ca="1" si="64"/>
        <v>0.24960385078531089</v>
      </c>
      <c r="BE41" s="301">
        <f t="shared" ca="1" si="65"/>
        <v>0.2473040337677469</v>
      </c>
      <c r="BF41" s="301">
        <f t="shared" ca="1" si="66"/>
        <v>0</v>
      </c>
      <c r="BG41" s="301">
        <f t="shared" ca="1" si="67"/>
        <v>0</v>
      </c>
      <c r="BH41" s="302">
        <f t="shared" ca="1" si="68"/>
        <v>0</v>
      </c>
    </row>
    <row r="42" spans="1:60" ht="13.5" thickBot="1" x14ac:dyDescent="0.25">
      <c r="A42" s="320">
        <v>2025</v>
      </c>
      <c r="B42" s="928">
        <f t="shared" si="69"/>
        <v>138428.95000000001</v>
      </c>
      <c r="C42" s="929">
        <f t="shared" si="69"/>
        <v>5602.95</v>
      </c>
      <c r="D42" s="929">
        <f t="shared" si="69"/>
        <v>6145.74</v>
      </c>
      <c r="E42" s="929">
        <f t="shared" si="69"/>
        <v>70788.28</v>
      </c>
      <c r="F42" s="929">
        <f t="shared" si="69"/>
        <v>124481.35</v>
      </c>
      <c r="G42" s="930">
        <f t="shared" si="69"/>
        <v>75193.23</v>
      </c>
      <c r="H42" s="1084">
        <f t="shared" si="70"/>
        <v>1</v>
      </c>
      <c r="I42" s="1085">
        <f t="shared" si="70"/>
        <v>1</v>
      </c>
      <c r="J42" s="1085">
        <f t="shared" si="70"/>
        <v>1</v>
      </c>
      <c r="K42" s="1085">
        <f t="shared" si="70"/>
        <v>0.84603953185714076</v>
      </c>
      <c r="L42" s="1085">
        <f t="shared" si="70"/>
        <v>1</v>
      </c>
      <c r="M42" s="1086">
        <f t="shared" si="70"/>
        <v>1</v>
      </c>
      <c r="N42" s="1460">
        <f t="shared" si="28"/>
        <v>9211.6530453090509</v>
      </c>
      <c r="O42" s="283">
        <f t="shared" si="29"/>
        <v>8412.8102162958021</v>
      </c>
      <c r="P42" s="283">
        <f t="shared" si="30"/>
        <v>8385.8521444316502</v>
      </c>
      <c r="Q42" s="283">
        <f t="shared" si="31"/>
        <v>9872.8423219600809</v>
      </c>
      <c r="R42" s="283">
        <f t="shared" si="32"/>
        <v>12346.982423055111</v>
      </c>
      <c r="S42" s="1461">
        <f t="shared" si="33"/>
        <v>17366.006083518056</v>
      </c>
      <c r="T42" s="1460">
        <f t="shared" si="34"/>
        <v>798.84282901324877</v>
      </c>
      <c r="U42" s="283">
        <f t="shared" si="35"/>
        <v>825.80090087740064</v>
      </c>
      <c r="V42" s="283">
        <f t="shared" si="36"/>
        <v>-661.18927665103001</v>
      </c>
      <c r="W42" s="283">
        <f t="shared" si="37"/>
        <v>-3135.3293777460603</v>
      </c>
      <c r="X42" s="324">
        <f t="shared" si="38"/>
        <v>-8154.3530382090048</v>
      </c>
      <c r="Y42" s="325">
        <f ca="1">IF(AND(Y$22=TRUE,INDEX(CDRANGE_CLS2,MATCH($A42,$A$24:$A$67,0),MATCH(Y$20,$B$20:$G$20,0))&lt;$D$6/OPDAYS_Cls2),86,payback(C42,T42,disc_rate/12,85))</f>
        <v>8</v>
      </c>
      <c r="Z42" s="326">
        <f ca="1">IF(AND(Z$22=TRUE,INDEX(CDRANGE_CLS2,MATCH($A42,$A$24:$A$67,0),MATCH(Z$20,$B$20:$G$20,0))&lt;$D$6/OPDAYS_Cls2),86,payback(D42,U42,disc_rate/12,85))</f>
        <v>8</v>
      </c>
      <c r="AA42" s="326">
        <f ca="1">IF(AND(AA$22=TRUE,INDEX(CDRANGE_CLS2,MATCH($A42,$A$24:$A$67,0),MATCH(AA$20,$B$20:$G$20,0))&lt;$D$6/OPDAYS_Cls2),86,payback(E42,V42,disc_rate/12,85))</f>
        <v>86</v>
      </c>
      <c r="AB42" s="326">
        <f>IF(AND(AB$22=TRUE,INDEX(CDRANGE_CLS2,MATCH($A42,$A$24:$A$67,0),MATCH(AB$20,$B$20:$G$20,0))&lt;$D$6/OPDAYS_Cls2),86,payback(F42,W42,disc_rate/12,85))</f>
        <v>86</v>
      </c>
      <c r="AC42" s="327">
        <f ca="1">IF(AND(AC$22=TRUE,INDEX(CDRANGE_CLS2,MATCH($A42,$A$24:$A$67,0),MATCH(AC$20,$B$20:$G$20,0))&lt;$D$6/OPDAYS_Cls2),86,payback(G42,X42,disc_rate/12,85))</f>
        <v>86</v>
      </c>
      <c r="AD42" s="328">
        <f t="shared" si="39"/>
        <v>0</v>
      </c>
      <c r="AE42" s="329">
        <f t="shared" si="40"/>
        <v>0</v>
      </c>
      <c r="AF42" s="329">
        <f t="shared" si="41"/>
        <v>0</v>
      </c>
      <c r="AG42" s="329">
        <f t="shared" si="42"/>
        <v>0</v>
      </c>
      <c r="AH42" s="330">
        <f t="shared" si="43"/>
        <v>0</v>
      </c>
      <c r="AI42" s="331">
        <f t="shared" si="44"/>
        <v>0.36552928931500245</v>
      </c>
      <c r="AJ42" s="332">
        <f t="shared" si="45"/>
        <v>0.36552928931500245</v>
      </c>
      <c r="AK42" s="332">
        <f t="shared" si="46"/>
        <v>0.36552928931500245</v>
      </c>
      <c r="AL42" s="332">
        <f t="shared" si="47"/>
        <v>7.8022518418636222E-2</v>
      </c>
      <c r="AM42" s="333">
        <f t="shared" si="48"/>
        <v>5.848468161162576E-8</v>
      </c>
      <c r="AN42" s="331">
        <f t="shared" si="60"/>
        <v>0.99545964982910806</v>
      </c>
      <c r="AO42" s="332">
        <f t="shared" si="60"/>
        <v>0.99453986154045781</v>
      </c>
      <c r="AP42" s="332">
        <f t="shared" si="60"/>
        <v>0.48365464615396625</v>
      </c>
      <c r="AQ42" s="332">
        <f t="shared" si="60"/>
        <v>0.10579842087909286</v>
      </c>
      <c r="AR42" s="699">
        <f t="shared" si="60"/>
        <v>0.44060854292563045</v>
      </c>
      <c r="AS42" s="935">
        <f t="shared" ca="1" si="50"/>
        <v>0.72276103453031182</v>
      </c>
      <c r="AT42" s="936">
        <f t="shared" ca="1" si="51"/>
        <v>0.72276103453031182</v>
      </c>
      <c r="AU42" s="936">
        <f t="shared" ca="1" si="52"/>
        <v>0</v>
      </c>
      <c r="AV42" s="936">
        <f t="shared" si="53"/>
        <v>0</v>
      </c>
      <c r="AW42" s="937">
        <f t="shared" ca="1" si="54"/>
        <v>0</v>
      </c>
      <c r="AX42" s="328">
        <f t="shared" ca="1" si="55"/>
        <v>0.71947944634366812</v>
      </c>
      <c r="AY42" s="329">
        <f t="shared" ca="1" si="56"/>
        <v>0.71881465920861431</v>
      </c>
      <c r="AZ42" s="329">
        <f t="shared" ca="1" si="57"/>
        <v>0</v>
      </c>
      <c r="BA42" s="329">
        <f t="shared" si="61"/>
        <v>0</v>
      </c>
      <c r="BB42" s="330">
        <f t="shared" ca="1" si="62"/>
        <v>0</v>
      </c>
      <c r="BC42" s="328">
        <f t="shared" ca="1" si="63"/>
        <v>0.28052055365633199</v>
      </c>
      <c r="BD42" s="329">
        <f t="shared" ca="1" si="64"/>
        <v>0.35990599677262902</v>
      </c>
      <c r="BE42" s="329">
        <f t="shared" ca="1" si="65"/>
        <v>0.35957344957103898</v>
      </c>
      <c r="BF42" s="329">
        <f t="shared" ca="1" si="66"/>
        <v>0</v>
      </c>
      <c r="BG42" s="329">
        <f t="shared" ca="1" si="67"/>
        <v>0</v>
      </c>
      <c r="BH42" s="330">
        <f t="shared" ca="1" si="68"/>
        <v>0</v>
      </c>
    </row>
    <row r="43" spans="1:60" x14ac:dyDescent="0.2">
      <c r="A43" s="334">
        <v>2026</v>
      </c>
      <c r="B43" s="931">
        <f t="shared" si="69"/>
        <v>139088.32000000001</v>
      </c>
      <c r="C43" s="932">
        <f t="shared" si="69"/>
        <v>5829.52</v>
      </c>
      <c r="D43" s="932">
        <f t="shared" si="69"/>
        <v>6311.03</v>
      </c>
      <c r="E43" s="932">
        <f t="shared" si="69"/>
        <v>63439.25</v>
      </c>
      <c r="F43" s="932">
        <f t="shared" si="69"/>
        <v>111055.28</v>
      </c>
      <c r="G43" s="933">
        <f t="shared" si="69"/>
        <v>64934.81</v>
      </c>
      <c r="H43" s="1087">
        <f t="shared" si="70"/>
        <v>1</v>
      </c>
      <c r="I43" s="1088">
        <f t="shared" si="70"/>
        <v>1</v>
      </c>
      <c r="J43" s="1088">
        <f t="shared" si="70"/>
        <v>1</v>
      </c>
      <c r="K43" s="1088">
        <f t="shared" si="70"/>
        <v>0.84567612477810628</v>
      </c>
      <c r="L43" s="1088">
        <f t="shared" si="70"/>
        <v>1</v>
      </c>
      <c r="M43" s="1089">
        <f t="shared" si="70"/>
        <v>1</v>
      </c>
      <c r="N43" s="293">
        <f t="shared" si="28"/>
        <v>9092.5247890452138</v>
      </c>
      <c r="O43" s="294">
        <f t="shared" si="29"/>
        <v>8176.7714394324939</v>
      </c>
      <c r="P43" s="294">
        <f t="shared" si="30"/>
        <v>8146.2691088783713</v>
      </c>
      <c r="Q43" s="294">
        <f t="shared" si="31"/>
        <v>9514.9363852295792</v>
      </c>
      <c r="R43" s="294">
        <f t="shared" si="32"/>
        <v>12050.548899402704</v>
      </c>
      <c r="S43" s="296">
        <f t="shared" si="33"/>
        <v>16019.3254435298</v>
      </c>
      <c r="T43" s="293">
        <f t="shared" si="34"/>
        <v>915.75334961271983</v>
      </c>
      <c r="U43" s="294">
        <f t="shared" si="35"/>
        <v>946.25568016684247</v>
      </c>
      <c r="V43" s="294">
        <f t="shared" si="36"/>
        <v>-422.41159618436541</v>
      </c>
      <c r="W43" s="294">
        <f t="shared" si="37"/>
        <v>-2958.0241103574899</v>
      </c>
      <c r="X43" s="296">
        <f t="shared" si="38"/>
        <v>-6926.8006544845866</v>
      </c>
      <c r="Y43" s="297">
        <f ca="1">IF(AND(Y$22=TRUE,INDEX(CDRANGE_CLS2,MATCH($A43,$A$24:$A$67,0),MATCH(Y$20,$B$20:$G$20,0))&lt;$D$6/OPDAYS_Cls2),86,payback(C43,T43,disc_rate/12,85))</f>
        <v>7</v>
      </c>
      <c r="Z43" s="298">
        <f ca="1">IF(AND(Z$22=TRUE,INDEX(CDRANGE_CLS2,MATCH($A43,$A$24:$A$67,0),MATCH(Z$20,$B$20:$G$20,0))&lt;$D$6/OPDAYS_Cls2),86,payback(D43,U43,disc_rate/12,85))</f>
        <v>7</v>
      </c>
      <c r="AA43" s="298">
        <f ca="1">IF(AND(AA$22=TRUE,INDEX(CDRANGE_CLS2,MATCH($A43,$A$24:$A$67,0),MATCH(AA$20,$B$20:$G$20,0))&lt;$D$6/OPDAYS_Cls2),86,payback(E43,V43,disc_rate/12,85))</f>
        <v>86</v>
      </c>
      <c r="AB43" s="298">
        <f>IF(AND(AB$22=TRUE,INDEX(CDRANGE_CLS2,MATCH($A43,$A$24:$A$67,0),MATCH(AB$20,$B$20:$G$20,0))&lt;$D$6/OPDAYS_Cls2),86,payback(F43,W43,disc_rate/12,85))</f>
        <v>86</v>
      </c>
      <c r="AC43" s="299">
        <f ca="1">IF(AND(AC$22=TRUE,INDEX(CDRANGE_CLS2,MATCH($A43,$A$24:$A$67,0),MATCH(AC$20,$B$20:$G$20,0))&lt;$D$6/OPDAYS_Cls2),86,payback(G43,X43,disc_rate/12,85))</f>
        <v>86</v>
      </c>
      <c r="AD43" s="300">
        <f t="shared" si="39"/>
        <v>0</v>
      </c>
      <c r="AE43" s="301">
        <f t="shared" si="40"/>
        <v>0</v>
      </c>
      <c r="AF43" s="301">
        <f t="shared" si="41"/>
        <v>0</v>
      </c>
      <c r="AG43" s="301">
        <f t="shared" si="42"/>
        <v>0</v>
      </c>
      <c r="AH43" s="302">
        <f t="shared" si="43"/>
        <v>0</v>
      </c>
      <c r="AI43" s="303">
        <f t="shared" si="44"/>
        <v>0.44039853898894116</v>
      </c>
      <c r="AJ43" s="304">
        <f t="shared" si="45"/>
        <v>0.44039853898894116</v>
      </c>
      <c r="AK43" s="304">
        <f t="shared" si="46"/>
        <v>0.44039853898894116</v>
      </c>
      <c r="AL43" s="304">
        <f t="shared" si="47"/>
        <v>0.11409947749819586</v>
      </c>
      <c r="AM43" s="305">
        <f t="shared" si="48"/>
        <v>1.127418816714989E-6</v>
      </c>
      <c r="AN43" s="303">
        <f t="shared" si="60"/>
        <v>0.99513231333522112</v>
      </c>
      <c r="AO43" s="304">
        <f t="shared" si="60"/>
        <v>0.99429736727267792</v>
      </c>
      <c r="AP43" s="304">
        <f t="shared" si="60"/>
        <v>0.56109064766104122</v>
      </c>
      <c r="AQ43" s="304">
        <f t="shared" si="60"/>
        <v>0.17017936865305994</v>
      </c>
      <c r="AR43" s="711">
        <f t="shared" si="60"/>
        <v>0.54583404378001765</v>
      </c>
      <c r="AS43" s="737">
        <f t="shared" ca="1" si="50"/>
        <v>0.87791448052733856</v>
      </c>
      <c r="AT43" s="738">
        <f t="shared" ca="1" si="51"/>
        <v>0.87791448052733856</v>
      </c>
      <c r="AU43" s="738">
        <f t="shared" ca="1" si="52"/>
        <v>0</v>
      </c>
      <c r="AV43" s="738">
        <f t="shared" si="53"/>
        <v>0</v>
      </c>
      <c r="AW43" s="739">
        <f t="shared" ca="1" si="54"/>
        <v>0</v>
      </c>
      <c r="AX43" s="300">
        <f t="shared" ca="1" si="55"/>
        <v>0.87364106791765939</v>
      </c>
      <c r="AY43" s="301">
        <f t="shared" ca="1" si="56"/>
        <v>0.87290805667889337</v>
      </c>
      <c r="AZ43" s="301">
        <f t="shared" ca="1" si="57"/>
        <v>0</v>
      </c>
      <c r="BA43" s="301">
        <f t="shared" si="61"/>
        <v>0</v>
      </c>
      <c r="BB43" s="302">
        <f t="shared" ca="1" si="62"/>
        <v>0</v>
      </c>
      <c r="BC43" s="300">
        <f t="shared" ca="1" si="63"/>
        <v>0.12635893208234061</v>
      </c>
      <c r="BD43" s="301">
        <f t="shared" ca="1" si="64"/>
        <v>0.43700386367810662</v>
      </c>
      <c r="BE43" s="301">
        <f t="shared" ca="1" si="65"/>
        <v>0.43663720423955282</v>
      </c>
      <c r="BF43" s="301">
        <f t="shared" ca="1" si="66"/>
        <v>0</v>
      </c>
      <c r="BG43" s="301">
        <f t="shared" ca="1" si="67"/>
        <v>0</v>
      </c>
      <c r="BH43" s="302">
        <f t="shared" ca="1" si="68"/>
        <v>0</v>
      </c>
    </row>
    <row r="44" spans="1:60" x14ac:dyDescent="0.2">
      <c r="A44" s="335">
        <v>2027</v>
      </c>
      <c r="B44" s="925">
        <f t="shared" ref="B44:G53" si="71">ROUND(INDEX(COST_Cls2,$A44-($A$24-1),MATCH(B$20,TECHOPTS_Cls2,0)),2)</f>
        <v>139747.70000000001</v>
      </c>
      <c r="C44" s="926">
        <f t="shared" si="71"/>
        <v>6056.08</v>
      </c>
      <c r="D44" s="926">
        <f t="shared" si="71"/>
        <v>6476.32</v>
      </c>
      <c r="E44" s="926">
        <f t="shared" si="71"/>
        <v>56090.22</v>
      </c>
      <c r="F44" s="926">
        <f t="shared" si="71"/>
        <v>97629.2</v>
      </c>
      <c r="G44" s="927">
        <f t="shared" si="71"/>
        <v>54676.38</v>
      </c>
      <c r="H44" s="1090">
        <f t="shared" ref="H44:M53" si="72">IF(H$21="Single-fuel",1,1-MIN(INDEX(CDRANGE_CLS2,$A44-($A$24-1),MATCH(H$20,TECHOPTS_Cls2,0))*OPDAYS_Cls2/$D$6,1))</f>
        <v>1</v>
      </c>
      <c r="I44" s="1091">
        <f t="shared" si="72"/>
        <v>1</v>
      </c>
      <c r="J44" s="1091">
        <f t="shared" si="72"/>
        <v>1</v>
      </c>
      <c r="K44" s="1091">
        <f t="shared" si="72"/>
        <v>0.84531271769907179</v>
      </c>
      <c r="L44" s="1091">
        <f t="shared" si="72"/>
        <v>1</v>
      </c>
      <c r="M44" s="1092">
        <f t="shared" si="72"/>
        <v>1</v>
      </c>
      <c r="N44" s="307">
        <f t="shared" si="28"/>
        <v>9171.1830435997199</v>
      </c>
      <c r="O44" s="308">
        <f t="shared" si="29"/>
        <v>8127.1710296448055</v>
      </c>
      <c r="P44" s="308">
        <f t="shared" si="30"/>
        <v>8092.8499187408643</v>
      </c>
      <c r="Q44" s="308">
        <f t="shared" si="31"/>
        <v>9333.9646091979248</v>
      </c>
      <c r="R44" s="308">
        <f t="shared" si="32"/>
        <v>11676.555094121561</v>
      </c>
      <c r="S44" s="310">
        <f t="shared" si="33"/>
        <v>15015.879397193467</v>
      </c>
      <c r="T44" s="307">
        <f t="shared" si="34"/>
        <v>1044.0120139549144</v>
      </c>
      <c r="U44" s="308">
        <f t="shared" si="35"/>
        <v>1078.3331248588556</v>
      </c>
      <c r="V44" s="308">
        <f t="shared" si="36"/>
        <v>-162.78156559820491</v>
      </c>
      <c r="W44" s="308">
        <f t="shared" si="37"/>
        <v>-2505.3720505218407</v>
      </c>
      <c r="X44" s="310">
        <f t="shared" si="38"/>
        <v>-5844.6963535937466</v>
      </c>
      <c r="Y44" s="311">
        <f ca="1">IF(AND(Y$22=TRUE,INDEX(CDRANGE_CLS2,MATCH($A44,$A$24:$A$67,0),MATCH(Y$20,$B$20:$G$20,0))&lt;$D$6/OPDAYS_Cls2),86,payback(C44,T44,disc_rate/12,85))</f>
        <v>6</v>
      </c>
      <c r="Z44" s="312">
        <f ca="1">IF(AND(Z$22=TRUE,INDEX(CDRANGE_CLS2,MATCH($A44,$A$24:$A$67,0),MATCH(Z$20,$B$20:$G$20,0))&lt;$D$6/OPDAYS_Cls2),86,payback(D44,U44,disc_rate/12,85))</f>
        <v>7</v>
      </c>
      <c r="AA44" s="312">
        <f ca="1">IF(AND(AA$22=TRUE,INDEX(CDRANGE_CLS2,MATCH($A44,$A$24:$A$67,0),MATCH(AA$20,$B$20:$G$20,0))&lt;$D$6/OPDAYS_Cls2),86,payback(E44,V44,disc_rate/12,85))</f>
        <v>86</v>
      </c>
      <c r="AB44" s="312">
        <f>IF(AND(AB$22=TRUE,INDEX(CDRANGE_CLS2,MATCH($A44,$A$24:$A$67,0),MATCH(AB$20,$B$20:$G$20,0))&lt;$D$6/OPDAYS_Cls2),86,payback(F44,W44,disc_rate/12,85))</f>
        <v>86</v>
      </c>
      <c r="AC44" s="313">
        <f ca="1">IF(AND(AC$22=TRUE,INDEX(CDRANGE_CLS2,MATCH($A44,$A$24:$A$67,0),MATCH(AC$20,$B$20:$G$20,0))&lt;$D$6/OPDAYS_Cls2),86,payback(G44,X44,disc_rate/12,85))</f>
        <v>86</v>
      </c>
      <c r="AD44" s="314">
        <f t="shared" si="39"/>
        <v>0</v>
      </c>
      <c r="AE44" s="315">
        <f t="shared" si="40"/>
        <v>0</v>
      </c>
      <c r="AF44" s="315">
        <f t="shared" si="41"/>
        <v>0</v>
      </c>
      <c r="AG44" s="315">
        <f t="shared" si="42"/>
        <v>0</v>
      </c>
      <c r="AH44" s="316">
        <f t="shared" si="43"/>
        <v>0</v>
      </c>
      <c r="AI44" s="317">
        <f t="shared" si="44"/>
        <v>0.47628706341121668</v>
      </c>
      <c r="AJ44" s="318">
        <f t="shared" si="45"/>
        <v>0.47628706341121668</v>
      </c>
      <c r="AK44" s="318">
        <f t="shared" si="46"/>
        <v>0.47628706341121668</v>
      </c>
      <c r="AL44" s="318">
        <f t="shared" si="47"/>
        <v>0.1600725741397479</v>
      </c>
      <c r="AM44" s="319">
        <f t="shared" si="48"/>
        <v>1.2192933216365979E-6</v>
      </c>
      <c r="AN44" s="317">
        <f t="shared" si="60"/>
        <v>0.99479693704652883</v>
      </c>
      <c r="AO44" s="318">
        <f t="shared" si="60"/>
        <v>0.99405201370671159</v>
      </c>
      <c r="AP44" s="318">
        <f t="shared" si="60"/>
        <v>0.63923119232214531</v>
      </c>
      <c r="AQ44" s="318">
        <f t="shared" si="60"/>
        <v>0.25776355454788979</v>
      </c>
      <c r="AR44" s="698">
        <f t="shared" si="60"/>
        <v>0.65362982120613489</v>
      </c>
      <c r="AS44" s="300">
        <f t="shared" ca="1" si="50"/>
        <v>0.95257412682243336</v>
      </c>
      <c r="AT44" s="301">
        <f t="shared" ca="1" si="51"/>
        <v>0.94945662357669569</v>
      </c>
      <c r="AU44" s="301">
        <f t="shared" ca="1" si="52"/>
        <v>0</v>
      </c>
      <c r="AV44" s="301">
        <f t="shared" si="53"/>
        <v>0</v>
      </c>
      <c r="AW44" s="302">
        <f t="shared" ca="1" si="54"/>
        <v>0</v>
      </c>
      <c r="AX44" s="314">
        <f t="shared" ca="1" si="55"/>
        <v>0.9476178236727284</v>
      </c>
      <c r="AY44" s="315">
        <f t="shared" ca="1" si="56"/>
        <v>0.9438092685935896</v>
      </c>
      <c r="AZ44" s="315">
        <f t="shared" ca="1" si="57"/>
        <v>0</v>
      </c>
      <c r="BA44" s="301">
        <f t="shared" si="61"/>
        <v>0</v>
      </c>
      <c r="BB44" s="302">
        <f t="shared" ca="1" si="62"/>
        <v>0</v>
      </c>
      <c r="BC44" s="300">
        <f t="shared" ca="1" si="63"/>
        <v>5.2382176327271601E-2</v>
      </c>
      <c r="BD44" s="301">
        <f t="shared" ca="1" si="64"/>
        <v>0.47476296782144234</v>
      </c>
      <c r="BE44" s="301">
        <f t="shared" ca="1" si="65"/>
        <v>0.47285485585128612</v>
      </c>
      <c r="BF44" s="301">
        <f t="shared" ca="1" si="66"/>
        <v>0</v>
      </c>
      <c r="BG44" s="301">
        <f t="shared" ca="1" si="67"/>
        <v>0</v>
      </c>
      <c r="BH44" s="302">
        <f t="shared" ca="1" si="68"/>
        <v>0</v>
      </c>
    </row>
    <row r="45" spans="1:60" x14ac:dyDescent="0.2">
      <c r="A45" s="335">
        <v>2028</v>
      </c>
      <c r="B45" s="925">
        <f t="shared" si="71"/>
        <v>140407.07</v>
      </c>
      <c r="C45" s="926">
        <f t="shared" si="71"/>
        <v>6282.65</v>
      </c>
      <c r="D45" s="926">
        <f t="shared" si="71"/>
        <v>6641.61</v>
      </c>
      <c r="E45" s="926">
        <f t="shared" si="71"/>
        <v>48741.19</v>
      </c>
      <c r="F45" s="926">
        <f t="shared" si="71"/>
        <v>84203.12</v>
      </c>
      <c r="G45" s="927">
        <f t="shared" si="71"/>
        <v>44417.96</v>
      </c>
      <c r="H45" s="1090">
        <f t="shared" si="72"/>
        <v>1</v>
      </c>
      <c r="I45" s="1091">
        <f t="shared" si="72"/>
        <v>1</v>
      </c>
      <c r="J45" s="1091">
        <f t="shared" si="72"/>
        <v>1</v>
      </c>
      <c r="K45" s="1091">
        <f t="shared" si="72"/>
        <v>0.84494931062003731</v>
      </c>
      <c r="L45" s="1091">
        <f t="shared" si="72"/>
        <v>1</v>
      </c>
      <c r="M45" s="1092">
        <f t="shared" si="72"/>
        <v>1</v>
      </c>
      <c r="N45" s="307">
        <f t="shared" si="28"/>
        <v>9172.4539465098169</v>
      </c>
      <c r="O45" s="308">
        <f t="shared" si="29"/>
        <v>8015.2241796359322</v>
      </c>
      <c r="P45" s="308">
        <f t="shared" si="30"/>
        <v>7977.6695748700995</v>
      </c>
      <c r="Q45" s="308">
        <f t="shared" si="31"/>
        <v>9119.2823642070052</v>
      </c>
      <c r="R45" s="308">
        <f t="shared" si="32"/>
        <v>11422.070939055422</v>
      </c>
      <c r="S45" s="310">
        <f t="shared" si="33"/>
        <v>14097.753203370356</v>
      </c>
      <c r="T45" s="307">
        <f t="shared" si="34"/>
        <v>1157.2297668738847</v>
      </c>
      <c r="U45" s="308">
        <f t="shared" si="35"/>
        <v>1194.7843716397174</v>
      </c>
      <c r="V45" s="308">
        <f t="shared" si="36"/>
        <v>53.171582302811657</v>
      </c>
      <c r="W45" s="308">
        <f t="shared" si="37"/>
        <v>-2249.6169925456052</v>
      </c>
      <c r="X45" s="310">
        <f t="shared" si="38"/>
        <v>-4925.2992568605387</v>
      </c>
      <c r="Y45" s="311">
        <f ca="1">IF(AND(Y$22=TRUE,INDEX(CDRANGE_CLS2,MATCH($A45,$A$24:$A$67,0),MATCH(Y$20,$B$20:$G$20,0))&lt;$D$6/OPDAYS_Cls2),86,payback(C45,T45,disc_rate/12,85))</f>
        <v>6</v>
      </c>
      <c r="Z45" s="312">
        <f ca="1">IF(AND(Z$22=TRUE,INDEX(CDRANGE_CLS2,MATCH($A45,$A$24:$A$67,0),MATCH(Z$20,$B$20:$G$20,0))&lt;$D$6/OPDAYS_Cls2),86,payback(D45,U45,disc_rate/12,85))</f>
        <v>6</v>
      </c>
      <c r="AA45" s="312">
        <f ca="1">IF(AND(AA$22=TRUE,INDEX(CDRANGE_CLS2,MATCH($A45,$A$24:$A$67,0),MATCH(AA$20,$B$20:$G$20,0))&lt;$D$6/OPDAYS_Cls2),86,payback(E45,V45,disc_rate/12,85))</f>
        <v>86</v>
      </c>
      <c r="AB45" s="312">
        <f>IF(AND(AB$22=TRUE,INDEX(CDRANGE_CLS2,MATCH($A45,$A$24:$A$67,0),MATCH(AB$20,$B$20:$G$20,0))&lt;$D$6/OPDAYS_Cls2),86,payback(F45,W45,disc_rate/12,85))</f>
        <v>86</v>
      </c>
      <c r="AC45" s="313">
        <f ca="1">IF(AND(AC$22=TRUE,INDEX(CDRANGE_CLS2,MATCH($A45,$A$24:$A$67,0),MATCH(AC$20,$B$20:$G$20,0))&lt;$D$6/OPDAYS_Cls2),86,payback(G45,X45,disc_rate/12,85))</f>
        <v>86</v>
      </c>
      <c r="AD45" s="314">
        <f t="shared" si="39"/>
        <v>0</v>
      </c>
      <c r="AE45" s="315">
        <f t="shared" si="40"/>
        <v>0</v>
      </c>
      <c r="AF45" s="315">
        <f t="shared" si="41"/>
        <v>0</v>
      </c>
      <c r="AG45" s="315">
        <f t="shared" si="42"/>
        <v>0</v>
      </c>
      <c r="AH45" s="316">
        <f t="shared" si="43"/>
        <v>0</v>
      </c>
      <c r="AI45" s="317">
        <f t="shared" si="44"/>
        <v>0.49100689501895423</v>
      </c>
      <c r="AJ45" s="318">
        <f t="shared" si="45"/>
        <v>0.49100689501895423</v>
      </c>
      <c r="AK45" s="318">
        <f t="shared" si="46"/>
        <v>0.49100689501895423</v>
      </c>
      <c r="AL45" s="318">
        <f t="shared" si="47"/>
        <v>0.19256155202933228</v>
      </c>
      <c r="AM45" s="319">
        <f t="shared" si="48"/>
        <v>2.0111230539163156E-5</v>
      </c>
      <c r="AN45" s="317">
        <f t="shared" si="60"/>
        <v>0.99445376666456653</v>
      </c>
      <c r="AO45" s="318">
        <f t="shared" si="60"/>
        <v>0.99380391543241542</v>
      </c>
      <c r="AP45" s="318">
        <f t="shared" si="60"/>
        <v>0.71552178738648076</v>
      </c>
      <c r="AQ45" s="318">
        <f t="shared" si="60"/>
        <v>0.36823867354165363</v>
      </c>
      <c r="AR45" s="698">
        <f t="shared" si="60"/>
        <v>0.75730071537523025</v>
      </c>
      <c r="AS45" s="300">
        <f t="shared" ca="1" si="50"/>
        <v>0.98201379003790845</v>
      </c>
      <c r="AT45" s="301">
        <f t="shared" ca="1" si="51"/>
        <v>0.98201379003790845</v>
      </c>
      <c r="AU45" s="301">
        <f t="shared" ca="1" si="52"/>
        <v>0</v>
      </c>
      <c r="AV45" s="301">
        <f t="shared" si="53"/>
        <v>0</v>
      </c>
      <c r="AW45" s="302">
        <f t="shared" ca="1" si="54"/>
        <v>0</v>
      </c>
      <c r="AX45" s="314">
        <f t="shared" ca="1" si="55"/>
        <v>0.97656731241974482</v>
      </c>
      <c r="AY45" s="315">
        <f t="shared" ca="1" si="56"/>
        <v>0.97592914954829935</v>
      </c>
      <c r="AZ45" s="315">
        <f t="shared" ca="1" si="57"/>
        <v>0</v>
      </c>
      <c r="BA45" s="301">
        <f t="shared" si="61"/>
        <v>0</v>
      </c>
      <c r="BB45" s="302">
        <f t="shared" ca="1" si="62"/>
        <v>0</v>
      </c>
      <c r="BC45" s="300">
        <f t="shared" ca="1" si="63"/>
        <v>2.3432687580255074E-2</v>
      </c>
      <c r="BD45" s="301">
        <f t="shared" ca="1" si="64"/>
        <v>0.48844324907275155</v>
      </c>
      <c r="BE45" s="301">
        <f t="shared" ca="1" si="65"/>
        <v>0.48812406334699332</v>
      </c>
      <c r="BF45" s="301">
        <f t="shared" ca="1" si="66"/>
        <v>0</v>
      </c>
      <c r="BG45" s="301">
        <f t="shared" ca="1" si="67"/>
        <v>0</v>
      </c>
      <c r="BH45" s="302">
        <f t="shared" ca="1" si="68"/>
        <v>0</v>
      </c>
    </row>
    <row r="46" spans="1:60" x14ac:dyDescent="0.2">
      <c r="A46" s="335">
        <v>2029</v>
      </c>
      <c r="B46" s="925">
        <f t="shared" si="71"/>
        <v>141066.45000000001</v>
      </c>
      <c r="C46" s="926">
        <f t="shared" si="71"/>
        <v>6509.21</v>
      </c>
      <c r="D46" s="926">
        <f t="shared" si="71"/>
        <v>6806.91</v>
      </c>
      <c r="E46" s="926">
        <f t="shared" si="71"/>
        <v>41392.160000000003</v>
      </c>
      <c r="F46" s="926">
        <f t="shared" si="71"/>
        <v>70777.039999999994</v>
      </c>
      <c r="G46" s="927">
        <f t="shared" si="71"/>
        <v>34159.54</v>
      </c>
      <c r="H46" s="1090">
        <f t="shared" si="72"/>
        <v>1</v>
      </c>
      <c r="I46" s="1091">
        <f t="shared" si="72"/>
        <v>1</v>
      </c>
      <c r="J46" s="1091">
        <f t="shared" si="72"/>
        <v>1</v>
      </c>
      <c r="K46" s="1091">
        <f t="shared" si="72"/>
        <v>0.84458590354100282</v>
      </c>
      <c r="L46" s="1091">
        <f t="shared" si="72"/>
        <v>1</v>
      </c>
      <c r="M46" s="1092">
        <f t="shared" si="72"/>
        <v>1</v>
      </c>
      <c r="N46" s="307">
        <f t="shared" si="28"/>
        <v>9367.1386865040949</v>
      </c>
      <c r="O46" s="308">
        <f t="shared" si="29"/>
        <v>8076.6536779959306</v>
      </c>
      <c r="P46" s="308">
        <f t="shared" si="30"/>
        <v>8035.2990449456111</v>
      </c>
      <c r="Q46" s="308">
        <f t="shared" si="31"/>
        <v>9069.8201614840455</v>
      </c>
      <c r="R46" s="308">
        <f t="shared" si="32"/>
        <v>11150.621731821739</v>
      </c>
      <c r="S46" s="310">
        <f t="shared" si="33"/>
        <v>13312.53280656865</v>
      </c>
      <c r="T46" s="307">
        <f t="shared" si="34"/>
        <v>1290.4850085081644</v>
      </c>
      <c r="U46" s="308">
        <f t="shared" si="35"/>
        <v>1331.8396415584839</v>
      </c>
      <c r="V46" s="308">
        <f t="shared" si="36"/>
        <v>297.31852502004949</v>
      </c>
      <c r="W46" s="308">
        <f t="shared" si="37"/>
        <v>-1783.4830453176437</v>
      </c>
      <c r="X46" s="310">
        <f t="shared" si="38"/>
        <v>-3945.394120064555</v>
      </c>
      <c r="Y46" s="311">
        <f ca="1">IF(AND(Y$22=TRUE,INDEX(CDRANGE_CLS2,MATCH($A46,$A$24:$A$67,0),MATCH(Y$20,$B$20:$G$20,0))&lt;$D$6/OPDAYS_Cls2),86,payback(C46,T46,disc_rate/12,85))</f>
        <v>6</v>
      </c>
      <c r="Z46" s="312">
        <f ca="1">IF(AND(Z$22=TRUE,INDEX(CDRANGE_CLS2,MATCH($A46,$A$24:$A$67,0),MATCH(Z$20,$B$20:$G$20,0))&lt;$D$6/OPDAYS_Cls2),86,payback(D46,U46,disc_rate/12,85))</f>
        <v>6</v>
      </c>
      <c r="AA46" s="312">
        <f ca="1">IF(AND(AA$22=TRUE,INDEX(CDRANGE_CLS2,MATCH($A46,$A$24:$A$67,0),MATCH(AA$20,$B$20:$G$20,0))&lt;$D$6/OPDAYS_Cls2),86,payback(E46,V46,disc_rate/12,85))</f>
        <v>86</v>
      </c>
      <c r="AB46" s="312">
        <f>IF(AND(AB$22=TRUE,INDEX(CDRANGE_CLS2,MATCH($A46,$A$24:$A$67,0),MATCH(AB$20,$B$20:$G$20,0))&lt;$D$6/OPDAYS_Cls2),86,payback(F46,W46,disc_rate/12,85))</f>
        <v>86</v>
      </c>
      <c r="AC46" s="313">
        <f ca="1">IF(AND(AC$22=TRUE,INDEX(CDRANGE_CLS2,MATCH($A46,$A$24:$A$67,0),MATCH(AC$20,$B$20:$G$20,0))&lt;$D$6/OPDAYS_Cls2),86,payback(G46,X46,disc_rate/12,85))</f>
        <v>86</v>
      </c>
      <c r="AD46" s="314">
        <f t="shared" si="39"/>
        <v>0</v>
      </c>
      <c r="AE46" s="315">
        <f t="shared" si="40"/>
        <v>0</v>
      </c>
      <c r="AF46" s="315">
        <f t="shared" si="41"/>
        <v>0</v>
      </c>
      <c r="AG46" s="315">
        <f t="shared" si="42"/>
        <v>0</v>
      </c>
      <c r="AH46" s="316">
        <f t="shared" si="43"/>
        <v>0</v>
      </c>
      <c r="AI46" s="317">
        <f t="shared" si="44"/>
        <v>0.49665357453785763</v>
      </c>
      <c r="AJ46" s="318">
        <f t="shared" si="45"/>
        <v>0.49665357453785763</v>
      </c>
      <c r="AK46" s="318">
        <f t="shared" si="46"/>
        <v>0.49665357453785763</v>
      </c>
      <c r="AL46" s="318">
        <f t="shared" si="47"/>
        <v>0.2240012655749237</v>
      </c>
      <c r="AM46" s="319">
        <f t="shared" si="48"/>
        <v>4.9662874268686648E-5</v>
      </c>
      <c r="AN46" s="317">
        <f t="shared" si="60"/>
        <v>0.99410311117407502</v>
      </c>
      <c r="AO46" s="318">
        <f t="shared" si="60"/>
        <v>0.99355316797229531</v>
      </c>
      <c r="AP46" s="318">
        <f t="shared" si="60"/>
        <v>0.78728992048447477</v>
      </c>
      <c r="AQ46" s="318">
        <f t="shared" si="60"/>
        <v>0.49695600905255921</v>
      </c>
      <c r="AR46" s="698">
        <f t="shared" si="60"/>
        <v>0.84969114051637828</v>
      </c>
      <c r="AS46" s="300">
        <f t="shared" ca="1" si="50"/>
        <v>0.99330714907571527</v>
      </c>
      <c r="AT46" s="301">
        <f t="shared" ca="1" si="51"/>
        <v>0.99330714907571527</v>
      </c>
      <c r="AU46" s="301">
        <f t="shared" ca="1" si="52"/>
        <v>0</v>
      </c>
      <c r="AV46" s="301">
        <f t="shared" si="53"/>
        <v>0</v>
      </c>
      <c r="AW46" s="302">
        <f t="shared" ca="1" si="54"/>
        <v>0</v>
      </c>
      <c r="AX46" s="314">
        <f t="shared" ca="1" si="55"/>
        <v>0.98744972724761926</v>
      </c>
      <c r="AY46" s="315">
        <f t="shared" ca="1" si="56"/>
        <v>0.98690346473370594</v>
      </c>
      <c r="AZ46" s="315">
        <f t="shared" ca="1" si="57"/>
        <v>0</v>
      </c>
      <c r="BA46" s="301">
        <f t="shared" si="61"/>
        <v>0</v>
      </c>
      <c r="BB46" s="302">
        <f t="shared" ca="1" si="62"/>
        <v>0</v>
      </c>
      <c r="BC46" s="300">
        <f t="shared" ca="1" si="63"/>
        <v>1.2550272752380742E-2</v>
      </c>
      <c r="BD46" s="301">
        <f t="shared" ca="1" si="64"/>
        <v>0.49386146703716044</v>
      </c>
      <c r="BE46" s="301">
        <f t="shared" ca="1" si="65"/>
        <v>0.49358826021045882</v>
      </c>
      <c r="BF46" s="301">
        <f t="shared" ca="1" si="66"/>
        <v>0</v>
      </c>
      <c r="BG46" s="301">
        <f t="shared" ca="1" si="67"/>
        <v>0</v>
      </c>
      <c r="BH46" s="302">
        <f t="shared" ca="1" si="68"/>
        <v>0</v>
      </c>
    </row>
    <row r="47" spans="1:60" ht="13.5" thickBot="1" x14ac:dyDescent="0.25">
      <c r="A47" s="320">
        <v>2030</v>
      </c>
      <c r="B47" s="919">
        <f t="shared" si="71"/>
        <v>141725.82999999999</v>
      </c>
      <c r="C47" s="920">
        <f t="shared" si="71"/>
        <v>6735.78</v>
      </c>
      <c r="D47" s="920">
        <f t="shared" si="71"/>
        <v>6972.2</v>
      </c>
      <c r="E47" s="920">
        <f t="shared" si="71"/>
        <v>34043.129999999997</v>
      </c>
      <c r="F47" s="920">
        <f t="shared" si="71"/>
        <v>57350.96</v>
      </c>
      <c r="G47" s="921">
        <f t="shared" si="71"/>
        <v>23901.119999999999</v>
      </c>
      <c r="H47" s="1084">
        <f t="shared" si="72"/>
        <v>1</v>
      </c>
      <c r="I47" s="1085">
        <f t="shared" si="72"/>
        <v>1</v>
      </c>
      <c r="J47" s="1085">
        <f t="shared" si="72"/>
        <v>1</v>
      </c>
      <c r="K47" s="1085">
        <f t="shared" si="72"/>
        <v>0.84422249646196834</v>
      </c>
      <c r="L47" s="1085">
        <f t="shared" si="72"/>
        <v>1</v>
      </c>
      <c r="M47" s="1086">
        <f t="shared" si="72"/>
        <v>1</v>
      </c>
      <c r="N47" s="321">
        <f t="shared" si="28"/>
        <v>9434.7335940570774</v>
      </c>
      <c r="O47" s="322">
        <f t="shared" si="29"/>
        <v>8031.7033385788291</v>
      </c>
      <c r="P47" s="322">
        <f t="shared" si="30"/>
        <v>7987.2882198997513</v>
      </c>
      <c r="Q47" s="322">
        <f t="shared" si="31"/>
        <v>8946.4586142392509</v>
      </c>
      <c r="R47" s="322">
        <f t="shared" si="32"/>
        <v>11014.559139565814</v>
      </c>
      <c r="S47" s="324">
        <f t="shared" si="33"/>
        <v>12840.970703679322</v>
      </c>
      <c r="T47" s="321">
        <f t="shared" si="34"/>
        <v>1403.0302554782484</v>
      </c>
      <c r="U47" s="322">
        <f t="shared" si="35"/>
        <v>1447.4453741573261</v>
      </c>
      <c r="V47" s="322">
        <f t="shared" si="36"/>
        <v>488.27497981782653</v>
      </c>
      <c r="W47" s="322">
        <f t="shared" si="37"/>
        <v>-1579.8255455087365</v>
      </c>
      <c r="X47" s="324">
        <f t="shared" si="38"/>
        <v>-3406.237109622245</v>
      </c>
      <c r="Y47" s="325">
        <f ca="1">IF(AND(Y$22=TRUE,INDEX(CDRANGE_CLS2,MATCH($A47,$A$24:$A$67,0),MATCH(Y$20,$B$20:$G$20,0))&lt;$D$6/OPDAYS_Cls2),86,payback(C47,T47,disc_rate/12,85))</f>
        <v>5</v>
      </c>
      <c r="Z47" s="326">
        <f ca="1">IF(AND(Z$22=TRUE,INDEX(CDRANGE_CLS2,MATCH($A47,$A$24:$A$67,0),MATCH(Z$20,$B$20:$G$20,0))&lt;$D$6/OPDAYS_Cls2),86,payback(D47,U47,disc_rate/12,85))</f>
        <v>5</v>
      </c>
      <c r="AA47" s="326">
        <f ca="1">IF(AND(AA$22=TRUE,INDEX(CDRANGE_CLS2,MATCH($A47,$A$24:$A$67,0),MATCH(AA$20,$B$20:$G$20,0))&lt;$D$6/OPDAYS_Cls2),86,payback(E47,V47,disc_rate/12,85))</f>
        <v>86</v>
      </c>
      <c r="AB47" s="326">
        <f>IF(AND(AB$22=TRUE,INDEX(CDRANGE_CLS2,MATCH($A47,$A$24:$A$67,0),MATCH(AB$20,$B$20:$G$20,0))&lt;$D$6/OPDAYS_Cls2),86,payback(F47,W47,disc_rate/12,85))</f>
        <v>86</v>
      </c>
      <c r="AC47" s="327">
        <f ca="1">IF(AND(AC$22=TRUE,INDEX(CDRANGE_CLS2,MATCH($A47,$A$24:$A$67,0),MATCH(AC$20,$B$20:$G$20,0))&lt;$D$6/OPDAYS_Cls2),86,payback(G47,X47,disc_rate/12,85))</f>
        <v>86</v>
      </c>
      <c r="AD47" s="328">
        <f t="shared" si="39"/>
        <v>0</v>
      </c>
      <c r="AE47" s="329">
        <f t="shared" si="40"/>
        <v>0</v>
      </c>
      <c r="AF47" s="329">
        <f t="shared" si="41"/>
        <v>0</v>
      </c>
      <c r="AG47" s="329">
        <f t="shared" si="42"/>
        <v>0</v>
      </c>
      <c r="AH47" s="330">
        <f t="shared" si="43"/>
        <v>0</v>
      </c>
      <c r="AI47" s="331">
        <f t="shared" si="44"/>
        <v>0.49876368842168267</v>
      </c>
      <c r="AJ47" s="332">
        <f t="shared" si="45"/>
        <v>0.49876368842168267</v>
      </c>
      <c r="AK47" s="332">
        <f t="shared" si="46"/>
        <v>0.49876368842168267</v>
      </c>
      <c r="AL47" s="332">
        <f t="shared" si="47"/>
        <v>0.27029859074170631</v>
      </c>
      <c r="AM47" s="333">
        <f t="shared" si="48"/>
        <v>1.9156825975678672E-4</v>
      </c>
      <c r="AN47" s="730">
        <f t="shared" si="60"/>
        <v>0.99374519890748736</v>
      </c>
      <c r="AO47" s="728">
        <f t="shared" si="60"/>
        <v>0.99329991717245192</v>
      </c>
      <c r="AP47" s="728">
        <f t="shared" si="60"/>
        <v>0.85191178864680217</v>
      </c>
      <c r="AQ47" s="728">
        <f t="shared" si="60"/>
        <v>0.63453472468632444</v>
      </c>
      <c r="AR47" s="729">
        <f t="shared" si="60"/>
        <v>0.92403842938167757</v>
      </c>
      <c r="AS47" s="337">
        <f t="shared" ca="1" si="50"/>
        <v>0.99752737684336534</v>
      </c>
      <c r="AT47" s="338">
        <f t="shared" ca="1" si="51"/>
        <v>0.99752737684336534</v>
      </c>
      <c r="AU47" s="338">
        <f t="shared" ca="1" si="52"/>
        <v>0</v>
      </c>
      <c r="AV47" s="338">
        <f t="shared" si="53"/>
        <v>0</v>
      </c>
      <c r="AW47" s="339">
        <f t="shared" ca="1" si="54"/>
        <v>0</v>
      </c>
      <c r="AX47" s="328">
        <f t="shared" ca="1" si="55"/>
        <v>0.99128804151687422</v>
      </c>
      <c r="AY47" s="329">
        <f t="shared" ca="1" si="56"/>
        <v>0.99084386079576803</v>
      </c>
      <c r="AZ47" s="329">
        <f t="shared" ca="1" si="57"/>
        <v>0</v>
      </c>
      <c r="BA47" s="329">
        <f t="shared" si="61"/>
        <v>0</v>
      </c>
      <c r="BB47" s="330">
        <f t="shared" ca="1" si="62"/>
        <v>0</v>
      </c>
      <c r="BC47" s="328">
        <f t="shared" ca="1" si="63"/>
        <v>8.7119584831258923E-3</v>
      </c>
      <c r="BD47" s="329">
        <f t="shared" ca="1" si="64"/>
        <v>0.49575509082309605</v>
      </c>
      <c r="BE47" s="329">
        <f t="shared" ca="1" si="65"/>
        <v>0.49553295069377812</v>
      </c>
      <c r="BF47" s="329">
        <f t="shared" ca="1" si="66"/>
        <v>0</v>
      </c>
      <c r="BG47" s="329">
        <f t="shared" ca="1" si="67"/>
        <v>0</v>
      </c>
      <c r="BH47" s="330">
        <f t="shared" ca="1" si="68"/>
        <v>0</v>
      </c>
    </row>
    <row r="48" spans="1:60" x14ac:dyDescent="0.2">
      <c r="A48" s="334">
        <v>2031</v>
      </c>
      <c r="B48" s="922">
        <f t="shared" si="71"/>
        <v>141725.82999999999</v>
      </c>
      <c r="C48" s="923">
        <f t="shared" si="71"/>
        <v>6735.78</v>
      </c>
      <c r="D48" s="923">
        <f t="shared" si="71"/>
        <v>6972.2</v>
      </c>
      <c r="E48" s="923">
        <f t="shared" si="71"/>
        <v>31513.34</v>
      </c>
      <c r="F48" s="923">
        <f t="shared" si="71"/>
        <v>52004.51</v>
      </c>
      <c r="G48" s="924">
        <f t="shared" si="71"/>
        <v>21656.23</v>
      </c>
      <c r="H48" s="1087">
        <f t="shared" si="72"/>
        <v>1</v>
      </c>
      <c r="I48" s="1088">
        <f t="shared" si="72"/>
        <v>1</v>
      </c>
      <c r="J48" s="1088">
        <f t="shared" si="72"/>
        <v>1</v>
      </c>
      <c r="K48" s="1088">
        <f t="shared" si="72"/>
        <v>0.84396704763393293</v>
      </c>
      <c r="L48" s="1088">
        <f t="shared" si="72"/>
        <v>1</v>
      </c>
      <c r="M48" s="1089">
        <f t="shared" si="72"/>
        <v>1</v>
      </c>
      <c r="N48" s="293">
        <f t="shared" si="28"/>
        <v>9531.0786603247234</v>
      </c>
      <c r="O48" s="294">
        <f t="shared" si="29"/>
        <v>8113.7210217156226</v>
      </c>
      <c r="P48" s="294">
        <f t="shared" si="30"/>
        <v>8068.8523472991455</v>
      </c>
      <c r="Q48" s="294">
        <f t="shared" si="31"/>
        <v>8845.0202147786313</v>
      </c>
      <c r="R48" s="294">
        <f t="shared" si="32"/>
        <v>10867.791514426244</v>
      </c>
      <c r="S48" s="296">
        <f t="shared" si="33"/>
        <v>12218.915454630574</v>
      </c>
      <c r="T48" s="293">
        <f t="shared" si="34"/>
        <v>1417.3576386091008</v>
      </c>
      <c r="U48" s="294">
        <f t="shared" si="35"/>
        <v>1462.2263130255778</v>
      </c>
      <c r="V48" s="294">
        <f t="shared" si="36"/>
        <v>686.05844554609212</v>
      </c>
      <c r="W48" s="294">
        <f t="shared" si="37"/>
        <v>-1336.7128541015209</v>
      </c>
      <c r="X48" s="296">
        <f t="shared" si="38"/>
        <v>-2687.8367943058511</v>
      </c>
      <c r="Y48" s="297">
        <f ca="1">IF(AND(Y$22=TRUE,INDEX(CDRANGE_CLS2,MATCH($A48,$A$24:$A$67,0),MATCH(Y$20,$B$20:$G$20,0))&lt;$D$6/OPDAYS_Cls2),86,payback(C48,T48,disc_rate/12,85))</f>
        <v>5</v>
      </c>
      <c r="Z48" s="298">
        <f ca="1">IF(AND(Z$22=TRUE,INDEX(CDRANGE_CLS2,MATCH($A48,$A$24:$A$67,0),MATCH(Z$20,$B$20:$G$20,0))&lt;$D$6/OPDAYS_Cls2),86,payback(D48,U48,disc_rate/12,85))</f>
        <v>5</v>
      </c>
      <c r="AA48" s="298">
        <f ca="1">IF(AND(AA$22=TRUE,INDEX(CDRANGE_CLS2,MATCH($A48,$A$24:$A$67,0),MATCH(AA$20,$B$20:$G$20,0))&lt;$D$6/OPDAYS_Cls2),86,payback(E48,V48,disc_rate/12,85))</f>
        <v>55</v>
      </c>
      <c r="AB48" s="298">
        <f>IF(AND(AB$22=TRUE,INDEX(CDRANGE_CLS2,MATCH($A48,$A$24:$A$67,0),MATCH(AB$20,$B$20:$G$20,0))&lt;$D$6/OPDAYS_Cls2),86,payback(F48,W48,disc_rate/12,85))</f>
        <v>86</v>
      </c>
      <c r="AC48" s="299">
        <f ca="1">IF(AND(AC$22=TRUE,INDEX(CDRANGE_CLS2,MATCH($A48,$A$24:$A$67,0),MATCH(AC$20,$B$20:$G$20,0))&lt;$D$6/OPDAYS_Cls2),86,payback(G48,X48,disc_rate/12,85))</f>
        <v>86</v>
      </c>
      <c r="AD48" s="300">
        <f t="shared" si="39"/>
        <v>0</v>
      </c>
      <c r="AE48" s="301">
        <f t="shared" si="40"/>
        <v>0</v>
      </c>
      <c r="AF48" s="301">
        <f t="shared" si="41"/>
        <v>0</v>
      </c>
      <c r="AG48" s="301">
        <f t="shared" si="42"/>
        <v>0</v>
      </c>
      <c r="AH48" s="302">
        <f t="shared" si="43"/>
        <v>0</v>
      </c>
      <c r="AI48" s="303">
        <f t="shared" si="44"/>
        <v>0.4995444744027997</v>
      </c>
      <c r="AJ48" s="304">
        <f t="shared" si="45"/>
        <v>0.4995444744027997</v>
      </c>
      <c r="AK48" s="304">
        <f t="shared" si="46"/>
        <v>0.4995444744027997</v>
      </c>
      <c r="AL48" s="304">
        <f t="shared" si="47"/>
        <v>0.30093738021312855</v>
      </c>
      <c r="AM48" s="305">
        <f t="shared" si="48"/>
        <v>3.2727421381663498E-4</v>
      </c>
      <c r="AN48" s="743">
        <f t="shared" si="60"/>
        <v>0.99374519890748736</v>
      </c>
      <c r="AO48" s="741">
        <f t="shared" si="60"/>
        <v>0.99329991717245192</v>
      </c>
      <c r="AP48" s="741">
        <f t="shared" si="60"/>
        <v>0.87167620254576139</v>
      </c>
      <c r="AQ48" s="741">
        <f t="shared" si="60"/>
        <v>0.68797104859774594</v>
      </c>
      <c r="AR48" s="742">
        <f t="shared" si="60"/>
        <v>0.93720030698511869</v>
      </c>
      <c r="AS48" s="300">
        <f t="shared" ca="1" si="50"/>
        <v>0.9990889488055994</v>
      </c>
      <c r="AT48" s="301">
        <f t="shared" ca="1" si="51"/>
        <v>0.9990889488055994</v>
      </c>
      <c r="AU48" s="301">
        <f t="shared" ca="1" si="52"/>
        <v>2.6922767084276333E-2</v>
      </c>
      <c r="AV48" s="301">
        <f t="shared" si="53"/>
        <v>0</v>
      </c>
      <c r="AW48" s="302">
        <f t="shared" ca="1" si="54"/>
        <v>0</v>
      </c>
      <c r="AX48" s="300">
        <f t="shared" ca="1" si="55"/>
        <v>0.99283984615709286</v>
      </c>
      <c r="AY48" s="301">
        <f t="shared" ca="1" si="56"/>
        <v>0.9923949700965139</v>
      </c>
      <c r="AZ48" s="301">
        <f t="shared" ca="1" si="57"/>
        <v>2.3467935374046015E-2</v>
      </c>
      <c r="BA48" s="301">
        <f t="shared" si="61"/>
        <v>0</v>
      </c>
      <c r="BB48" s="302">
        <f t="shared" ca="1" si="62"/>
        <v>0</v>
      </c>
      <c r="BC48" s="300">
        <f t="shared" ca="1" si="63"/>
        <v>7.1601538429070244E-3</v>
      </c>
      <c r="BD48" s="301">
        <f t="shared" ca="1" si="64"/>
        <v>0.49073012884484857</v>
      </c>
      <c r="BE48" s="301">
        <f t="shared" ca="1" si="65"/>
        <v>0.4905102403226736</v>
      </c>
      <c r="BF48" s="301">
        <f t="shared" ca="1" si="66"/>
        <v>1.1599476989570768E-2</v>
      </c>
      <c r="BG48" s="301">
        <f t="shared" ca="1" si="67"/>
        <v>0</v>
      </c>
      <c r="BH48" s="302">
        <f t="shared" ca="1" si="68"/>
        <v>0</v>
      </c>
    </row>
    <row r="49" spans="1:60" x14ac:dyDescent="0.2">
      <c r="A49" s="335">
        <v>2032</v>
      </c>
      <c r="B49" s="925">
        <f t="shared" si="71"/>
        <v>141725.82999999999</v>
      </c>
      <c r="C49" s="926">
        <f t="shared" si="71"/>
        <v>6735.78</v>
      </c>
      <c r="D49" s="926">
        <f t="shared" si="71"/>
        <v>6972.2</v>
      </c>
      <c r="E49" s="926">
        <f t="shared" si="71"/>
        <v>28983.55</v>
      </c>
      <c r="F49" s="926">
        <f t="shared" si="71"/>
        <v>46658.06</v>
      </c>
      <c r="G49" s="927">
        <f t="shared" si="71"/>
        <v>19411.330000000002</v>
      </c>
      <c r="H49" s="1090">
        <f t="shared" si="72"/>
        <v>1</v>
      </c>
      <c r="I49" s="1091">
        <f t="shared" si="72"/>
        <v>1</v>
      </c>
      <c r="J49" s="1091">
        <f t="shared" si="72"/>
        <v>1</v>
      </c>
      <c r="K49" s="1091">
        <f t="shared" si="72"/>
        <v>0.84371159880589763</v>
      </c>
      <c r="L49" s="1091">
        <f t="shared" si="72"/>
        <v>1</v>
      </c>
      <c r="M49" s="1092">
        <f t="shared" si="72"/>
        <v>1</v>
      </c>
      <c r="N49" s="307">
        <f t="shared" si="28"/>
        <v>9634.6436947344228</v>
      </c>
      <c r="O49" s="308">
        <f t="shared" si="29"/>
        <v>8201.8849984019798</v>
      </c>
      <c r="P49" s="308">
        <f t="shared" si="30"/>
        <v>8156.5287793984235</v>
      </c>
      <c r="Q49" s="308">
        <f t="shared" si="31"/>
        <v>8759.4768609825096</v>
      </c>
      <c r="R49" s="308">
        <f t="shared" si="32"/>
        <v>10770.757166956744</v>
      </c>
      <c r="S49" s="310">
        <f t="shared" si="33"/>
        <v>11558.89259012539</v>
      </c>
      <c r="T49" s="307">
        <f t="shared" si="34"/>
        <v>1432.7586963324429</v>
      </c>
      <c r="U49" s="308">
        <f t="shared" si="35"/>
        <v>1478.1149153359993</v>
      </c>
      <c r="V49" s="308">
        <f t="shared" si="36"/>
        <v>875.16683375191315</v>
      </c>
      <c r="W49" s="308">
        <f t="shared" si="37"/>
        <v>-1136.1134722223214</v>
      </c>
      <c r="X49" s="310">
        <f t="shared" si="38"/>
        <v>-1924.2488953909669</v>
      </c>
      <c r="Y49" s="311">
        <f ca="1">IF(AND(Y$22=TRUE,INDEX(CDRANGE_CLS2,MATCH($A49,$A$24:$A$67,0),MATCH(Y$20,$B$20:$G$20,0))&lt;$D$6/OPDAYS_Cls2),86,payback(C49,T49,disc_rate/12,85))</f>
        <v>5</v>
      </c>
      <c r="Z49" s="312">
        <f ca="1">IF(AND(Z$22=TRUE,INDEX(CDRANGE_CLS2,MATCH($A49,$A$24:$A$67,0),MATCH(Z$20,$B$20:$G$20,0))&lt;$D$6/OPDAYS_Cls2),86,payback(D49,U49,disc_rate/12,85))</f>
        <v>5</v>
      </c>
      <c r="AA49" s="312">
        <f ca="1">IF(AND(AA$22=TRUE,INDEX(CDRANGE_CLS2,MATCH($A49,$A$24:$A$67,0),MATCH(AA$20,$B$20:$G$20,0))&lt;$D$6/OPDAYS_Cls2),86,payback(E49,V49,disc_rate/12,85))</f>
        <v>38</v>
      </c>
      <c r="AB49" s="312">
        <f>IF(AND(AB$22=TRUE,INDEX(CDRANGE_CLS2,MATCH($A49,$A$24:$A$67,0),MATCH(AB$20,$B$20:$G$20,0))&lt;$D$6/OPDAYS_Cls2),86,payback(F49,W49,disc_rate/12,85))</f>
        <v>86</v>
      </c>
      <c r="AC49" s="313">
        <f ca="1">IF(AND(AC$22=TRUE,INDEX(CDRANGE_CLS2,MATCH($A49,$A$24:$A$67,0),MATCH(AC$20,$B$20:$G$20,0))&lt;$D$6/OPDAYS_Cls2),86,payback(G49,X49,disc_rate/12,85))</f>
        <v>86</v>
      </c>
      <c r="AD49" s="314">
        <f t="shared" si="39"/>
        <v>0</v>
      </c>
      <c r="AE49" s="315">
        <f t="shared" si="40"/>
        <v>0</v>
      </c>
      <c r="AF49" s="315">
        <f t="shared" si="41"/>
        <v>0</v>
      </c>
      <c r="AG49" s="315">
        <f t="shared" si="42"/>
        <v>0</v>
      </c>
      <c r="AH49" s="316">
        <f t="shared" si="43"/>
        <v>0</v>
      </c>
      <c r="AI49" s="317">
        <f t="shared" si="44"/>
        <v>0.49983232493476681</v>
      </c>
      <c r="AJ49" s="318">
        <f t="shared" si="45"/>
        <v>0.49983232493476681</v>
      </c>
      <c r="AK49" s="318">
        <f t="shared" si="46"/>
        <v>0.49983232493476681</v>
      </c>
      <c r="AL49" s="318">
        <f t="shared" si="47"/>
        <v>0.34467895175791513</v>
      </c>
      <c r="AM49" s="319">
        <f t="shared" si="48"/>
        <v>7.9909227560213318E-4</v>
      </c>
      <c r="AN49" s="317">
        <f t="shared" si="60"/>
        <v>0.99374519890748736</v>
      </c>
      <c r="AO49" s="318">
        <f t="shared" si="60"/>
        <v>0.99329991717245192</v>
      </c>
      <c r="AP49" s="318">
        <f t="shared" si="60"/>
        <v>0.89032179576672776</v>
      </c>
      <c r="AQ49" s="318">
        <f t="shared" si="60"/>
        <v>0.74003348312836037</v>
      </c>
      <c r="AR49" s="698">
        <f t="shared" si="60"/>
        <v>0.94922569997339845</v>
      </c>
      <c r="AS49" s="300">
        <f t="shared" ca="1" si="50"/>
        <v>0.99966464986953363</v>
      </c>
      <c r="AT49" s="301">
        <f t="shared" ca="1" si="51"/>
        <v>0.99966464986953363</v>
      </c>
      <c r="AU49" s="301">
        <f t="shared" ca="1" si="52"/>
        <v>0.18661395565258398</v>
      </c>
      <c r="AV49" s="301">
        <f t="shared" si="53"/>
        <v>0</v>
      </c>
      <c r="AW49" s="302">
        <f t="shared" ca="1" si="54"/>
        <v>0</v>
      </c>
      <c r="AX49" s="314">
        <f t="shared" ca="1" si="55"/>
        <v>0.99341194632538343</v>
      </c>
      <c r="AY49" s="315">
        <f t="shared" ca="1" si="56"/>
        <v>0.9929668139156359</v>
      </c>
      <c r="AZ49" s="315">
        <f t="shared" ca="1" si="57"/>
        <v>0.16614647211174108</v>
      </c>
      <c r="BA49" s="301">
        <f t="shared" si="61"/>
        <v>0</v>
      </c>
      <c r="BB49" s="302">
        <f t="shared" ca="1" si="62"/>
        <v>0</v>
      </c>
      <c r="BC49" s="300">
        <f t="shared" ca="1" si="63"/>
        <v>6.5880536746165674E-3</v>
      </c>
      <c r="BD49" s="301">
        <f t="shared" ca="1" si="64"/>
        <v>0.45846955950584495</v>
      </c>
      <c r="BE49" s="301">
        <f t="shared" ca="1" si="65"/>
        <v>0.45826412644197484</v>
      </c>
      <c r="BF49" s="301">
        <f t="shared" ca="1" si="66"/>
        <v>7.6678260377563687E-2</v>
      </c>
      <c r="BG49" s="301">
        <f t="shared" ca="1" si="67"/>
        <v>0</v>
      </c>
      <c r="BH49" s="302">
        <f t="shared" ca="1" si="68"/>
        <v>0</v>
      </c>
    </row>
    <row r="50" spans="1:60" x14ac:dyDescent="0.2">
      <c r="A50" s="335">
        <v>2033</v>
      </c>
      <c r="B50" s="925">
        <f t="shared" si="71"/>
        <v>141725.82999999999</v>
      </c>
      <c r="C50" s="926">
        <f t="shared" si="71"/>
        <v>6735.78</v>
      </c>
      <c r="D50" s="926">
        <f t="shared" si="71"/>
        <v>6972.2</v>
      </c>
      <c r="E50" s="926">
        <f t="shared" si="71"/>
        <v>26453.759999999998</v>
      </c>
      <c r="F50" s="926">
        <f t="shared" si="71"/>
        <v>41311.620000000003</v>
      </c>
      <c r="G50" s="927">
        <f t="shared" si="71"/>
        <v>17166.43</v>
      </c>
      <c r="H50" s="1090">
        <f t="shared" si="72"/>
        <v>1</v>
      </c>
      <c r="I50" s="1091">
        <f t="shared" si="72"/>
        <v>1</v>
      </c>
      <c r="J50" s="1091">
        <f t="shared" si="72"/>
        <v>1</v>
      </c>
      <c r="K50" s="1091">
        <f t="shared" si="72"/>
        <v>0.84345614997786222</v>
      </c>
      <c r="L50" s="1091">
        <f t="shared" si="72"/>
        <v>1</v>
      </c>
      <c r="M50" s="1092">
        <f t="shared" si="72"/>
        <v>1</v>
      </c>
      <c r="N50" s="307">
        <f t="shared" si="28"/>
        <v>9724.2961565933474</v>
      </c>
      <c r="O50" s="308">
        <f t="shared" si="29"/>
        <v>8278.2053279635566</v>
      </c>
      <c r="P50" s="308">
        <f t="shared" si="30"/>
        <v>8232.4270594454465</v>
      </c>
      <c r="Q50" s="308">
        <f t="shared" si="31"/>
        <v>8663.4313943825364</v>
      </c>
      <c r="R50" s="308">
        <f t="shared" si="32"/>
        <v>10651.754407356175</v>
      </c>
      <c r="S50" s="310">
        <f t="shared" si="33"/>
        <v>10944.847528066377</v>
      </c>
      <c r="T50" s="307">
        <f t="shared" si="34"/>
        <v>1446.0908286297908</v>
      </c>
      <c r="U50" s="308">
        <f t="shared" si="35"/>
        <v>1491.8690971479009</v>
      </c>
      <c r="V50" s="308">
        <f t="shared" si="36"/>
        <v>1060.864762210811</v>
      </c>
      <c r="W50" s="308">
        <f t="shared" si="37"/>
        <v>-927.45825076282745</v>
      </c>
      <c r="X50" s="310">
        <f t="shared" si="38"/>
        <v>-1220.5513714730296</v>
      </c>
      <c r="Y50" s="311">
        <f ca="1">IF(AND(Y$22=TRUE,INDEX(CDRANGE_CLS2,MATCH($A50,$A$24:$A$67,0),MATCH(Y$20,$B$20:$G$20,0))&lt;$D$6/OPDAYS_Cls2),86,payback(C50,T50,disc_rate/12,85))</f>
        <v>5</v>
      </c>
      <c r="Z50" s="312">
        <f ca="1">IF(AND(Z$22=TRUE,INDEX(CDRANGE_CLS2,MATCH($A50,$A$24:$A$67,0),MATCH(Z$20,$B$20:$G$20,0))&lt;$D$6/OPDAYS_Cls2),86,payback(D50,U50,disc_rate/12,85))</f>
        <v>5</v>
      </c>
      <c r="AA50" s="312">
        <f ca="1">IF(AND(AA$22=TRUE,INDEX(CDRANGE_CLS2,MATCH($A50,$A$24:$A$67,0),MATCH(AA$20,$B$20:$G$20,0))&lt;$D$6/OPDAYS_Cls2),86,payback(E50,V50,disc_rate/12,85))</f>
        <v>28</v>
      </c>
      <c r="AB50" s="312">
        <f>IF(AND(AB$22=TRUE,INDEX(CDRANGE_CLS2,MATCH($A50,$A$24:$A$67,0),MATCH(AB$20,$B$20:$G$20,0))&lt;$D$6/OPDAYS_Cls2),86,payback(F50,W50,disc_rate/12,85))</f>
        <v>86</v>
      </c>
      <c r="AC50" s="313">
        <f ca="1">IF(AND(AC$22=TRUE,INDEX(CDRANGE_CLS2,MATCH($A50,$A$24:$A$67,0),MATCH(AC$20,$B$20:$G$20,0))&lt;$D$6/OPDAYS_Cls2),86,payback(G50,X50,disc_rate/12,85))</f>
        <v>86</v>
      </c>
      <c r="AD50" s="314">
        <f t="shared" si="39"/>
        <v>0</v>
      </c>
      <c r="AE50" s="315">
        <f t="shared" si="40"/>
        <v>0</v>
      </c>
      <c r="AF50" s="315">
        <f t="shared" si="41"/>
        <v>0</v>
      </c>
      <c r="AG50" s="315">
        <f t="shared" si="42"/>
        <v>0</v>
      </c>
      <c r="AH50" s="316">
        <f t="shared" si="43"/>
        <v>0</v>
      </c>
      <c r="AI50" s="317">
        <f t="shared" si="44"/>
        <v>0.49993830271200684</v>
      </c>
      <c r="AJ50" s="318">
        <f t="shared" si="45"/>
        <v>0.49993830271200684</v>
      </c>
      <c r="AK50" s="318">
        <f t="shared" si="46"/>
        <v>0.49993830271200684</v>
      </c>
      <c r="AL50" s="318">
        <f t="shared" si="47"/>
        <v>0.37168647485669287</v>
      </c>
      <c r="AM50" s="319">
        <f t="shared" si="48"/>
        <v>1.1697648133383034E-3</v>
      </c>
      <c r="AN50" s="317">
        <f t="shared" si="60"/>
        <v>0.99374519890748736</v>
      </c>
      <c r="AO50" s="318">
        <f t="shared" si="60"/>
        <v>0.99329991717245192</v>
      </c>
      <c r="AP50" s="318">
        <f t="shared" si="60"/>
        <v>0.90775797997488383</v>
      </c>
      <c r="AQ50" s="318">
        <f t="shared" si="60"/>
        <v>0.78976697011126062</v>
      </c>
      <c r="AR50" s="698">
        <f t="shared" si="60"/>
        <v>0.96006624869588109</v>
      </c>
      <c r="AS50" s="300">
        <f t="shared" ca="1" si="50"/>
        <v>0.99987660542401369</v>
      </c>
      <c r="AT50" s="301">
        <f t="shared" ca="1" si="51"/>
        <v>0.99987660542401369</v>
      </c>
      <c r="AU50" s="301">
        <f t="shared" ca="1" si="52"/>
        <v>0.42521859501824266</v>
      </c>
      <c r="AV50" s="301">
        <f t="shared" si="53"/>
        <v>0</v>
      </c>
      <c r="AW50" s="302">
        <f t="shared" ca="1" si="54"/>
        <v>0</v>
      </c>
      <c r="AX50" s="314">
        <f t="shared" ca="1" si="55"/>
        <v>0.99362257614002969</v>
      </c>
      <c r="AY50" s="315">
        <f t="shared" ca="1" si="56"/>
        <v>0.99317734935034518</v>
      </c>
      <c r="AZ50" s="315">
        <f t="shared" ca="1" si="57"/>
        <v>0.38599557286151814</v>
      </c>
      <c r="BA50" s="301">
        <f t="shared" si="61"/>
        <v>0</v>
      </c>
      <c r="BB50" s="302">
        <f t="shared" ca="1" si="62"/>
        <v>0</v>
      </c>
      <c r="BC50" s="300">
        <f t="shared" ca="1" si="63"/>
        <v>6.3774238599703104E-3</v>
      </c>
      <c r="BD50" s="301">
        <f t="shared" ca="1" si="64"/>
        <v>0.4160855094764393</v>
      </c>
      <c r="BE50" s="301">
        <f t="shared" ca="1" si="65"/>
        <v>0.41589906804478616</v>
      </c>
      <c r="BF50" s="301">
        <f t="shared" ca="1" si="66"/>
        <v>0.16163799861880424</v>
      </c>
      <c r="BG50" s="301">
        <f t="shared" ca="1" si="67"/>
        <v>0</v>
      </c>
      <c r="BH50" s="302">
        <f t="shared" ca="1" si="68"/>
        <v>0</v>
      </c>
    </row>
    <row r="51" spans="1:60" x14ac:dyDescent="0.2">
      <c r="A51" s="335">
        <v>2034</v>
      </c>
      <c r="B51" s="925">
        <f t="shared" si="71"/>
        <v>141725.82999999999</v>
      </c>
      <c r="C51" s="926">
        <f t="shared" si="71"/>
        <v>6735.78</v>
      </c>
      <c r="D51" s="926">
        <f t="shared" si="71"/>
        <v>6972.2</v>
      </c>
      <c r="E51" s="926">
        <f t="shared" si="71"/>
        <v>23923.97</v>
      </c>
      <c r="F51" s="926">
        <f t="shared" si="71"/>
        <v>35965.17</v>
      </c>
      <c r="G51" s="927">
        <f t="shared" si="71"/>
        <v>14921.53</v>
      </c>
      <c r="H51" s="1090">
        <f t="shared" si="72"/>
        <v>1</v>
      </c>
      <c r="I51" s="1091">
        <f t="shared" si="72"/>
        <v>1</v>
      </c>
      <c r="J51" s="1091">
        <f t="shared" si="72"/>
        <v>1</v>
      </c>
      <c r="K51" s="1091">
        <f t="shared" si="72"/>
        <v>0.84320070114982693</v>
      </c>
      <c r="L51" s="1091">
        <f t="shared" si="72"/>
        <v>1</v>
      </c>
      <c r="M51" s="1092">
        <f t="shared" si="72"/>
        <v>1</v>
      </c>
      <c r="N51" s="307">
        <f t="shared" si="28"/>
        <v>9750.289441022036</v>
      </c>
      <c r="O51" s="308">
        <f t="shared" si="29"/>
        <v>8300.3331757978649</v>
      </c>
      <c r="P51" s="308">
        <f t="shared" si="30"/>
        <v>8254.432540834403</v>
      </c>
      <c r="Q51" s="308">
        <f t="shared" si="31"/>
        <v>8517.1374350451515</v>
      </c>
      <c r="R51" s="308">
        <f t="shared" si="32"/>
        <v>10479.842004919085</v>
      </c>
      <c r="S51" s="310">
        <f t="shared" si="33"/>
        <v>10354.145361478726</v>
      </c>
      <c r="T51" s="307">
        <f t="shared" si="34"/>
        <v>1449.9562652241711</v>
      </c>
      <c r="U51" s="308">
        <f t="shared" si="35"/>
        <v>1495.8569001876331</v>
      </c>
      <c r="V51" s="308">
        <f t="shared" si="36"/>
        <v>1233.1520059768845</v>
      </c>
      <c r="W51" s="308">
        <f t="shared" si="37"/>
        <v>-729.55256389704846</v>
      </c>
      <c r="X51" s="310">
        <f t="shared" si="38"/>
        <v>-603.85592045669</v>
      </c>
      <c r="Y51" s="311">
        <f ca="1">IF(AND(Y$22=TRUE,INDEX(CDRANGE_CLS2,MATCH($A51,$A$24:$A$67,0),MATCH(Y$20,$B$20:$G$20,0))&lt;$D$6/OPDAYS_Cls2),86,payback(C51,T51,disc_rate/12,85))</f>
        <v>5</v>
      </c>
      <c r="Z51" s="312">
        <f ca="1">IF(AND(Z$22=TRUE,INDEX(CDRANGE_CLS2,MATCH($A51,$A$24:$A$67,0),MATCH(Z$20,$B$20:$G$20,0))&lt;$D$6/OPDAYS_Cls2),86,payback(D51,U51,disc_rate/12,85))</f>
        <v>5</v>
      </c>
      <c r="AA51" s="312">
        <f ca="1">IF(AND(AA$22=TRUE,INDEX(CDRANGE_CLS2,MATCH($A51,$A$24:$A$67,0),MATCH(AA$20,$B$20:$G$20,0))&lt;$D$6/OPDAYS_Cls2),86,payback(E51,V51,disc_rate/12,85))</f>
        <v>21</v>
      </c>
      <c r="AB51" s="312">
        <f>IF(AND(AB$22=TRUE,INDEX(CDRANGE_CLS2,MATCH($A51,$A$24:$A$67,0),MATCH(AB$20,$B$20:$G$20,0))&lt;$D$6/OPDAYS_Cls2),86,payback(F51,W51,disc_rate/12,85))</f>
        <v>86</v>
      </c>
      <c r="AC51" s="313">
        <f ca="1">IF(AND(AC$22=TRUE,INDEX(CDRANGE_CLS2,MATCH($A51,$A$24:$A$67,0),MATCH(AC$20,$B$20:$G$20,0))&lt;$D$6/OPDAYS_Cls2),86,payback(G51,X51,disc_rate/12,85))</f>
        <v>86</v>
      </c>
      <c r="AD51" s="314">
        <f t="shared" si="39"/>
        <v>0</v>
      </c>
      <c r="AE51" s="315">
        <f t="shared" si="40"/>
        <v>0</v>
      </c>
      <c r="AF51" s="315">
        <f t="shared" si="41"/>
        <v>0</v>
      </c>
      <c r="AG51" s="315">
        <f t="shared" si="42"/>
        <v>0</v>
      </c>
      <c r="AH51" s="316">
        <f t="shared" si="43"/>
        <v>0</v>
      </c>
      <c r="AI51" s="317">
        <f t="shared" si="44"/>
        <v>0.4999773010656488</v>
      </c>
      <c r="AJ51" s="318">
        <f t="shared" si="45"/>
        <v>0.4999773010656488</v>
      </c>
      <c r="AK51" s="318">
        <f t="shared" si="46"/>
        <v>0.4999773010656488</v>
      </c>
      <c r="AL51" s="318">
        <f t="shared" si="47"/>
        <v>0.39632486519556798</v>
      </c>
      <c r="AM51" s="319">
        <f t="shared" si="48"/>
        <v>2.2795637746865363E-3</v>
      </c>
      <c r="AN51" s="317">
        <f t="shared" si="60"/>
        <v>0.99374519890748736</v>
      </c>
      <c r="AO51" s="318">
        <f t="shared" si="60"/>
        <v>0.99329991717245192</v>
      </c>
      <c r="AP51" s="318">
        <f t="shared" si="60"/>
        <v>0.92389879296407074</v>
      </c>
      <c r="AQ51" s="318">
        <f t="shared" si="60"/>
        <v>0.83620557344943125</v>
      </c>
      <c r="AR51" s="698">
        <f t="shared" si="60"/>
        <v>0.96967804963336635</v>
      </c>
      <c r="AS51" s="300">
        <f t="shared" ca="1" si="50"/>
        <v>0.99995460213129761</v>
      </c>
      <c r="AT51" s="301">
        <f t="shared" ca="1" si="51"/>
        <v>0.99995460213129761</v>
      </c>
      <c r="AU51" s="301">
        <f t="shared" ca="1" si="52"/>
        <v>0.65104884352739034</v>
      </c>
      <c r="AV51" s="301">
        <f t="shared" si="53"/>
        <v>0</v>
      </c>
      <c r="AW51" s="302">
        <f t="shared" ca="1" si="54"/>
        <v>0</v>
      </c>
      <c r="AX51" s="314">
        <f t="shared" ca="1" si="55"/>
        <v>0.99370008499342377</v>
      </c>
      <c r="AY51" s="315">
        <f t="shared" ca="1" si="56"/>
        <v>0.99325482347323002</v>
      </c>
      <c r="AZ51" s="315">
        <f t="shared" ca="1" si="57"/>
        <v>0.60150324069561012</v>
      </c>
      <c r="BA51" s="301">
        <f t="shared" si="61"/>
        <v>0</v>
      </c>
      <c r="BB51" s="302">
        <f t="shared" ca="1" si="62"/>
        <v>0</v>
      </c>
      <c r="BC51" s="300">
        <f t="shared" ca="1" si="63"/>
        <v>6.2999150065761178E-3</v>
      </c>
      <c r="BD51" s="301">
        <f t="shared" ca="1" si="64"/>
        <v>0.38147800814763627</v>
      </c>
      <c r="BE51" s="301">
        <f t="shared" ca="1" si="65"/>
        <v>0.38130707379793316</v>
      </c>
      <c r="BF51" s="301">
        <f t="shared" ca="1" si="66"/>
        <v>0.23091500304785434</v>
      </c>
      <c r="BG51" s="301">
        <f t="shared" ca="1" si="67"/>
        <v>0</v>
      </c>
      <c r="BH51" s="302">
        <f t="shared" ca="1" si="68"/>
        <v>0</v>
      </c>
    </row>
    <row r="52" spans="1:60" ht="13.5" thickBot="1" x14ac:dyDescent="0.25">
      <c r="A52" s="320">
        <v>2035</v>
      </c>
      <c r="B52" s="928">
        <f t="shared" si="71"/>
        <v>141725.82999999999</v>
      </c>
      <c r="C52" s="929">
        <f t="shared" si="71"/>
        <v>6735.78</v>
      </c>
      <c r="D52" s="929">
        <f t="shared" si="71"/>
        <v>6972.2</v>
      </c>
      <c r="E52" s="929">
        <f t="shared" si="71"/>
        <v>21394.18</v>
      </c>
      <c r="F52" s="929">
        <f t="shared" si="71"/>
        <v>30618.720000000001</v>
      </c>
      <c r="G52" s="930">
        <f t="shared" si="71"/>
        <v>12676.64</v>
      </c>
      <c r="H52" s="1084">
        <f t="shared" si="72"/>
        <v>1</v>
      </c>
      <c r="I52" s="1085">
        <f t="shared" si="72"/>
        <v>1</v>
      </c>
      <c r="J52" s="1085">
        <f t="shared" si="72"/>
        <v>1</v>
      </c>
      <c r="K52" s="1085">
        <f t="shared" si="72"/>
        <v>0.84294525232179152</v>
      </c>
      <c r="L52" s="1085">
        <f t="shared" si="72"/>
        <v>1</v>
      </c>
      <c r="M52" s="1086">
        <f t="shared" si="72"/>
        <v>1</v>
      </c>
      <c r="N52" s="321">
        <f t="shared" si="28"/>
        <v>9838.0192882884203</v>
      </c>
      <c r="O52" s="322">
        <f t="shared" si="29"/>
        <v>8375.0168009535628</v>
      </c>
      <c r="P52" s="322">
        <f t="shared" si="30"/>
        <v>8328.7031674099908</v>
      </c>
      <c r="Q52" s="322">
        <f t="shared" si="31"/>
        <v>8417.9947088068311</v>
      </c>
      <c r="R52" s="322">
        <f t="shared" si="32"/>
        <v>10301.590052731206</v>
      </c>
      <c r="S52" s="324">
        <f t="shared" si="33"/>
        <v>9824.8021105565276</v>
      </c>
      <c r="T52" s="321">
        <f t="shared" si="34"/>
        <v>1463.0024873348575</v>
      </c>
      <c r="U52" s="322">
        <f t="shared" si="35"/>
        <v>1509.3161208784295</v>
      </c>
      <c r="V52" s="322">
        <f t="shared" si="36"/>
        <v>1420.0245794815892</v>
      </c>
      <c r="W52" s="322">
        <f t="shared" si="37"/>
        <v>-463.57076444278573</v>
      </c>
      <c r="X52" s="324">
        <f t="shared" si="38"/>
        <v>13.217177731892662</v>
      </c>
      <c r="Y52" s="325">
        <f ca="1">IF(AND(Y$22=TRUE,INDEX(CDRANGE_CLS2,MATCH($A52,$A$24:$A$67,0),MATCH(Y$20,$B$20:$G$20,0))&lt;$D$6/OPDAYS_Cls2),86,payback(C52,T52,disc_rate/12,85))</f>
        <v>5</v>
      </c>
      <c r="Z52" s="326">
        <f ca="1">IF(AND(Z$22=TRUE,INDEX(CDRANGE_CLS2,MATCH($A52,$A$24:$A$67,0),MATCH(Z$20,$B$20:$G$20,0))&lt;$D$6/OPDAYS_Cls2),86,payback(D52,U52,disc_rate/12,85))</f>
        <v>5</v>
      </c>
      <c r="AA52" s="326">
        <f ca="1">IF(AND(AA$22=TRUE,INDEX(CDRANGE_CLS2,MATCH($A52,$A$24:$A$67,0),MATCH(AA$20,$B$20:$G$20,0))&lt;$D$6/OPDAYS_Cls2),86,payback(E52,V52,disc_rate/12,85))</f>
        <v>16</v>
      </c>
      <c r="AB52" s="326">
        <f>IF(AND(AB$22=TRUE,INDEX(CDRANGE_CLS2,MATCH($A52,$A$24:$A$67,0),MATCH(AB$20,$B$20:$G$20,0))&lt;$D$6/OPDAYS_Cls2),86,payback(F52,W52,disc_rate/12,85))</f>
        <v>86</v>
      </c>
      <c r="AC52" s="327">
        <f ca="1">IF(AND(AC$22=TRUE,INDEX(CDRANGE_CLS2,MATCH($A52,$A$24:$A$67,0),MATCH(AC$20,$B$20:$G$20,0))&lt;$D$6/OPDAYS_Cls2),86,payback(G52,X52,disc_rate/12,85))</f>
        <v>86</v>
      </c>
      <c r="AD52" s="328">
        <f t="shared" si="39"/>
        <v>0</v>
      </c>
      <c r="AE52" s="329">
        <f t="shared" si="40"/>
        <v>0</v>
      </c>
      <c r="AF52" s="329">
        <f t="shared" si="41"/>
        <v>0</v>
      </c>
      <c r="AG52" s="329">
        <f t="shared" si="42"/>
        <v>0</v>
      </c>
      <c r="AH52" s="330">
        <f t="shared" si="43"/>
        <v>0</v>
      </c>
      <c r="AI52" s="331">
        <f t="shared" si="44"/>
        <v>0.49999164928907602</v>
      </c>
      <c r="AJ52" s="332">
        <f t="shared" si="45"/>
        <v>0.49999164928907602</v>
      </c>
      <c r="AK52" s="332">
        <f t="shared" si="46"/>
        <v>0.49999164928907602</v>
      </c>
      <c r="AL52" s="332">
        <f t="shared" si="47"/>
        <v>0.42805300184955236</v>
      </c>
      <c r="AM52" s="333">
        <f t="shared" si="48"/>
        <v>3.063803101141209E-3</v>
      </c>
      <c r="AN52" s="331">
        <f t="shared" si="60"/>
        <v>0.99374519890748736</v>
      </c>
      <c r="AO52" s="332">
        <f t="shared" si="60"/>
        <v>0.99329991717245192</v>
      </c>
      <c r="AP52" s="332">
        <f t="shared" si="60"/>
        <v>0.93866360297126727</v>
      </c>
      <c r="AQ52" s="332">
        <f t="shared" si="60"/>
        <v>0.8784025499636815</v>
      </c>
      <c r="AR52" s="699">
        <f t="shared" si="60"/>
        <v>0.97802185611245773</v>
      </c>
      <c r="AS52" s="935">
        <f t="shared" ca="1" si="50"/>
        <v>0.99998329857815205</v>
      </c>
      <c r="AT52" s="936">
        <f t="shared" ca="1" si="51"/>
        <v>0.99998329857815205</v>
      </c>
      <c r="AU52" s="936">
        <f t="shared" ca="1" si="52"/>
        <v>0.81314188042438051</v>
      </c>
      <c r="AV52" s="936">
        <f t="shared" si="53"/>
        <v>0</v>
      </c>
      <c r="AW52" s="937">
        <f t="shared" ca="1" si="54"/>
        <v>0</v>
      </c>
      <c r="AX52" s="328">
        <f t="shared" ca="1" si="55"/>
        <v>0.99372860194971102</v>
      </c>
      <c r="AY52" s="329">
        <f t="shared" ca="1" si="56"/>
        <v>0.99328332765151373</v>
      </c>
      <c r="AZ52" s="329">
        <f t="shared" ca="1" si="57"/>
        <v>0.76326668720598045</v>
      </c>
      <c r="BA52" s="329">
        <f t="shared" si="61"/>
        <v>0</v>
      </c>
      <c r="BB52" s="330">
        <f t="shared" ca="1" si="62"/>
        <v>0</v>
      </c>
      <c r="BC52" s="328">
        <f t="shared" ca="1" si="63"/>
        <v>6.2713980502888678E-3</v>
      </c>
      <c r="BD52" s="329">
        <f t="shared" ca="1" si="64"/>
        <v>0.3590532712934047</v>
      </c>
      <c r="BE52" s="329">
        <f t="shared" ca="1" si="65"/>
        <v>0.35889238511877219</v>
      </c>
      <c r="BF52" s="329">
        <f t="shared" ca="1" si="66"/>
        <v>0.27578294553753419</v>
      </c>
      <c r="BG52" s="329">
        <f t="shared" ca="1" si="67"/>
        <v>0</v>
      </c>
      <c r="BH52" s="330">
        <f t="shared" ca="1" si="68"/>
        <v>0</v>
      </c>
    </row>
    <row r="53" spans="1:60" x14ac:dyDescent="0.2">
      <c r="A53" s="334">
        <v>2036</v>
      </c>
      <c r="B53" s="931">
        <f t="shared" si="71"/>
        <v>141725.82999999999</v>
      </c>
      <c r="C53" s="932">
        <f t="shared" si="71"/>
        <v>6735.78</v>
      </c>
      <c r="D53" s="932">
        <f t="shared" si="71"/>
        <v>6972.2</v>
      </c>
      <c r="E53" s="932">
        <f t="shared" si="71"/>
        <v>21247.83</v>
      </c>
      <c r="F53" s="932">
        <f t="shared" si="71"/>
        <v>30039.75</v>
      </c>
      <c r="G53" s="933">
        <f t="shared" si="71"/>
        <v>12143.89</v>
      </c>
      <c r="H53" s="1087">
        <f t="shared" si="72"/>
        <v>1</v>
      </c>
      <c r="I53" s="1088">
        <f t="shared" si="72"/>
        <v>1</v>
      </c>
      <c r="J53" s="1088">
        <f t="shared" si="72"/>
        <v>1</v>
      </c>
      <c r="K53" s="1088">
        <f t="shared" si="72"/>
        <v>0.84284272171022323</v>
      </c>
      <c r="L53" s="1088">
        <f t="shared" si="72"/>
        <v>1</v>
      </c>
      <c r="M53" s="1089">
        <f t="shared" si="72"/>
        <v>1</v>
      </c>
      <c r="N53" s="293">
        <f t="shared" si="28"/>
        <v>9951.69268556516</v>
      </c>
      <c r="O53" s="294">
        <f t="shared" si="29"/>
        <v>8471.7859354832635</v>
      </c>
      <c r="P53" s="294">
        <f t="shared" si="30"/>
        <v>8424.9371710448577</v>
      </c>
      <c r="Q53" s="294">
        <f t="shared" si="31"/>
        <v>8441.2082370101434</v>
      </c>
      <c r="R53" s="294">
        <f t="shared" si="32"/>
        <v>10239.343384697409</v>
      </c>
      <c r="S53" s="296">
        <f t="shared" si="33"/>
        <v>9432.5608511940336</v>
      </c>
      <c r="T53" s="293">
        <f t="shared" si="34"/>
        <v>1479.9067500818965</v>
      </c>
      <c r="U53" s="294">
        <f t="shared" si="35"/>
        <v>1526.7555145203023</v>
      </c>
      <c r="V53" s="294">
        <f t="shared" si="36"/>
        <v>1510.4844485550166</v>
      </c>
      <c r="W53" s="294">
        <f t="shared" si="37"/>
        <v>-287.65069913224943</v>
      </c>
      <c r="X53" s="296">
        <f t="shared" si="38"/>
        <v>519.13183437112639</v>
      </c>
      <c r="Y53" s="297">
        <f ca="1">IF(AND(Y$22=TRUE,INDEX(CDRANGE_CLS2,MATCH($A53,$A$24:$A$67,0),MATCH(Y$20,$B$20:$G$20,0))&lt;$D$6/OPDAYS_Cls2),86,payback(C53,T53,disc_rate/12,85))</f>
        <v>5</v>
      </c>
      <c r="Z53" s="298">
        <f ca="1">IF(AND(Z$22=TRUE,INDEX(CDRANGE_CLS2,MATCH($A53,$A$24:$A$67,0),MATCH(Z$20,$B$20:$G$20,0))&lt;$D$6/OPDAYS_Cls2),86,payback(D53,U53,disc_rate/12,85))</f>
        <v>5</v>
      </c>
      <c r="AA53" s="298">
        <f ca="1">IF(AND(AA$22=TRUE,INDEX(CDRANGE_CLS2,MATCH($A53,$A$24:$A$67,0),MATCH(AA$20,$B$20:$G$20,0))&lt;$D$6/OPDAYS_Cls2),86,payback(E53,V53,disc_rate/12,85))</f>
        <v>15</v>
      </c>
      <c r="AB53" s="298">
        <f>IF(AND(AB$22=TRUE,INDEX(CDRANGE_CLS2,MATCH($A53,$A$24:$A$67,0),MATCH(AB$20,$B$20:$G$20,0))&lt;$D$6/OPDAYS_Cls2),86,payback(F53,W53,disc_rate/12,85))</f>
        <v>86</v>
      </c>
      <c r="AC53" s="299">
        <f ca="1">IF(AND(AC$22=TRUE,INDEX(CDRANGE_CLS2,MATCH($A53,$A$24:$A$67,0),MATCH(AC$20,$B$20:$G$20,0))&lt;$D$6/OPDAYS_Cls2),86,payback(G53,X53,disc_rate/12,85))</f>
        <v>26</v>
      </c>
      <c r="AD53" s="300">
        <f t="shared" si="39"/>
        <v>0</v>
      </c>
      <c r="AE53" s="301">
        <f t="shared" si="40"/>
        <v>0</v>
      </c>
      <c r="AF53" s="301">
        <f t="shared" si="41"/>
        <v>0</v>
      </c>
      <c r="AG53" s="301">
        <f t="shared" si="42"/>
        <v>0</v>
      </c>
      <c r="AH53" s="302">
        <f t="shared" si="43"/>
        <v>0</v>
      </c>
      <c r="AI53" s="303">
        <f t="shared" si="44"/>
        <v>0.4999969279126989</v>
      </c>
      <c r="AJ53" s="304">
        <f t="shared" si="45"/>
        <v>0.4999969279126989</v>
      </c>
      <c r="AK53" s="304">
        <f t="shared" si="46"/>
        <v>0.4999969279126989</v>
      </c>
      <c r="AL53" s="304">
        <f t="shared" si="47"/>
        <v>0.4454387621512283</v>
      </c>
      <c r="AM53" s="305">
        <f t="shared" si="48"/>
        <v>5.21545598989625E-3</v>
      </c>
      <c r="AN53" s="303">
        <f t="shared" si="60"/>
        <v>0.99374519890748736</v>
      </c>
      <c r="AO53" s="304">
        <f t="shared" si="60"/>
        <v>0.99329991717245192</v>
      </c>
      <c r="AP53" s="304">
        <f t="shared" si="60"/>
        <v>0.9394740549251035</v>
      </c>
      <c r="AQ53" s="304">
        <f t="shared" si="60"/>
        <v>0.88267912051781494</v>
      </c>
      <c r="AR53" s="711">
        <f t="shared" si="60"/>
        <v>0.97981196603758702</v>
      </c>
      <c r="AS53" s="737">
        <f t="shared" ca="1" si="50"/>
        <v>0.99999385582539779</v>
      </c>
      <c r="AT53" s="738">
        <f t="shared" ca="1" si="51"/>
        <v>0.99999385582539779</v>
      </c>
      <c r="AU53" s="738">
        <f t="shared" ca="1" si="52"/>
        <v>0.84273003508196309</v>
      </c>
      <c r="AV53" s="738">
        <f t="shared" si="53"/>
        <v>0</v>
      </c>
      <c r="AW53" s="739">
        <f t="shared" ca="1" si="54"/>
        <v>5.0760808347827795E-3</v>
      </c>
      <c r="AX53" s="300">
        <f t="shared" ca="1" si="55"/>
        <v>0.9937390931634752</v>
      </c>
      <c r="AY53" s="301">
        <f t="shared" ca="1" si="56"/>
        <v>0.99329381416432849</v>
      </c>
      <c r="AZ53" s="301">
        <f t="shared" ca="1" si="57"/>
        <v>0.79172300326562661</v>
      </c>
      <c r="BA53" s="301">
        <f t="shared" si="61"/>
        <v>0</v>
      </c>
      <c r="BB53" s="302">
        <f t="shared" ca="1" si="62"/>
        <v>4.9736047424942314E-3</v>
      </c>
      <c r="BC53" s="300">
        <f t="shared" ca="1" si="63"/>
        <v>6.2609068365246934E-3</v>
      </c>
      <c r="BD53" s="301">
        <f t="shared" ca="1" si="64"/>
        <v>0.35537448426026863</v>
      </c>
      <c r="BE53" s="301">
        <f t="shared" ca="1" si="65"/>
        <v>0.35521524649276776</v>
      </c>
      <c r="BF53" s="301">
        <f t="shared" ca="1" si="66"/>
        <v>0.28313080958386744</v>
      </c>
      <c r="BG53" s="301">
        <f t="shared" ca="1" si="67"/>
        <v>0</v>
      </c>
      <c r="BH53" s="302">
        <f t="shared" ca="1" si="68"/>
        <v>1.8552826571523359E-5</v>
      </c>
    </row>
    <row r="54" spans="1:60" x14ac:dyDescent="0.2">
      <c r="A54" s="335">
        <v>2037</v>
      </c>
      <c r="B54" s="925">
        <f t="shared" ref="B54:G67" si="73">ROUND(INDEX(COST_Cls2,$A54-($A$24-1),MATCH(B$20,TECHOPTS_Cls2,0)),2)</f>
        <v>141725.82999999999</v>
      </c>
      <c r="C54" s="926">
        <f t="shared" si="73"/>
        <v>6735.78</v>
      </c>
      <c r="D54" s="926">
        <f t="shared" si="73"/>
        <v>6972.2</v>
      </c>
      <c r="E54" s="926">
        <f t="shared" si="73"/>
        <v>21101.47</v>
      </c>
      <c r="F54" s="926">
        <f t="shared" si="73"/>
        <v>29460.78</v>
      </c>
      <c r="G54" s="927">
        <f t="shared" si="73"/>
        <v>11611.15</v>
      </c>
      <c r="H54" s="1090">
        <f t="shared" ref="H54:M67" si="74">IF(H$21="Single-fuel",1,1-MIN(INDEX(CDRANGE_CLS2,$A54-($A$24-1),MATCH(H$20,TECHOPTS_Cls2,0))*OPDAYS_Cls2/$D$6,1))</f>
        <v>1</v>
      </c>
      <c r="I54" s="1091">
        <f t="shared" si="74"/>
        <v>1</v>
      </c>
      <c r="J54" s="1091">
        <f t="shared" si="74"/>
        <v>1</v>
      </c>
      <c r="K54" s="1091">
        <f t="shared" si="74"/>
        <v>0.84274019109865506</v>
      </c>
      <c r="L54" s="1091">
        <f t="shared" si="74"/>
        <v>1</v>
      </c>
      <c r="M54" s="1092">
        <f t="shared" si="74"/>
        <v>1</v>
      </c>
      <c r="N54" s="307">
        <f t="shared" si="28"/>
        <v>9930.0939421844905</v>
      </c>
      <c r="O54" s="308">
        <f t="shared" si="29"/>
        <v>8453.3991206791979</v>
      </c>
      <c r="P54" s="308">
        <f t="shared" si="30"/>
        <v>8406.6520348670092</v>
      </c>
      <c r="Q54" s="308">
        <f t="shared" si="31"/>
        <v>8368.8242058416727</v>
      </c>
      <c r="R54" s="308">
        <f t="shared" si="32"/>
        <v>10167.716559135288</v>
      </c>
      <c r="S54" s="310">
        <f t="shared" si="33"/>
        <v>9106.0154481816116</v>
      </c>
      <c r="T54" s="307">
        <f t="shared" si="34"/>
        <v>1476.6948215052926</v>
      </c>
      <c r="U54" s="308">
        <f t="shared" si="35"/>
        <v>1523.4419073174813</v>
      </c>
      <c r="V54" s="308">
        <f t="shared" si="36"/>
        <v>1561.2697363428179</v>
      </c>
      <c r="W54" s="308">
        <f t="shared" si="37"/>
        <v>-237.62261695079724</v>
      </c>
      <c r="X54" s="310">
        <f t="shared" si="38"/>
        <v>824.07849400287887</v>
      </c>
      <c r="Y54" s="311">
        <f ca="1">IF(AND(Y$22=TRUE,INDEX(CDRANGE_CLS2,MATCH($A54,$A$24:$A$67,0),MATCH(Y$20,$B$20:$G$20,0))&lt;$D$6/OPDAYS_Cls2),86,payback(C54,T54,disc_rate/12,85))</f>
        <v>5</v>
      </c>
      <c r="Z54" s="312">
        <f ca="1">IF(AND(Z$22=TRUE,INDEX(CDRANGE_CLS2,MATCH($A54,$A$24:$A$67,0),MATCH(Z$20,$B$20:$G$20,0))&lt;$D$6/OPDAYS_Cls2),86,payback(D54,U54,disc_rate/12,85))</f>
        <v>5</v>
      </c>
      <c r="AA54" s="312">
        <f ca="1">IF(AND(AA$22=TRUE,INDEX(CDRANGE_CLS2,MATCH($A54,$A$24:$A$67,0),MATCH(AA$20,$B$20:$G$20,0))&lt;$D$6/OPDAYS_Cls2),86,payback(E54,V54,disc_rate/12,85))</f>
        <v>15</v>
      </c>
      <c r="AB54" s="312">
        <f>IF(AND(AB$22=TRUE,INDEX(CDRANGE_CLS2,MATCH($A54,$A$24:$A$67,0),MATCH(AB$20,$B$20:$G$20,0))&lt;$D$6/OPDAYS_Cls2),86,payback(F54,W54,disc_rate/12,85))</f>
        <v>86</v>
      </c>
      <c r="AC54" s="313">
        <f ca="1">IF(AND(AC$22=TRUE,INDEX(CDRANGE_CLS2,MATCH($A54,$A$24:$A$67,0),MATCH(AC$20,$B$20:$G$20,0))&lt;$D$6/OPDAYS_Cls2),86,payback(G54,X54,disc_rate/12,85))</f>
        <v>15</v>
      </c>
      <c r="AD54" s="314">
        <f t="shared" si="39"/>
        <v>0</v>
      </c>
      <c r="AE54" s="315">
        <f t="shared" si="40"/>
        <v>0</v>
      </c>
      <c r="AF54" s="315">
        <f t="shared" si="41"/>
        <v>0</v>
      </c>
      <c r="AG54" s="315">
        <f t="shared" si="42"/>
        <v>0</v>
      </c>
      <c r="AH54" s="316">
        <f t="shared" si="43"/>
        <v>0</v>
      </c>
      <c r="AI54" s="317">
        <f t="shared" si="44"/>
        <v>0.49999886983785102</v>
      </c>
      <c r="AJ54" s="318">
        <f t="shared" si="45"/>
        <v>0.49999886983785102</v>
      </c>
      <c r="AK54" s="318">
        <f t="shared" si="46"/>
        <v>0.49999886983785102</v>
      </c>
      <c r="AL54" s="318">
        <f t="shared" si="47"/>
        <v>0.46586632654011367</v>
      </c>
      <c r="AM54" s="319">
        <f t="shared" si="48"/>
        <v>8.3279266410674832E-3</v>
      </c>
      <c r="AN54" s="317">
        <f t="shared" si="60"/>
        <v>0.99374519890748736</v>
      </c>
      <c r="AO54" s="318">
        <f t="shared" si="60"/>
        <v>0.99329991717245192</v>
      </c>
      <c r="AP54" s="318">
        <f t="shared" si="60"/>
        <v>0.94027969127821909</v>
      </c>
      <c r="AQ54" s="318">
        <f t="shared" si="60"/>
        <v>0.88689428126154379</v>
      </c>
      <c r="AR54" s="698">
        <f t="shared" si="60"/>
        <v>0.98152826675521443</v>
      </c>
      <c r="AS54" s="300">
        <f t="shared" ca="1" si="50"/>
        <v>0.99999773967570205</v>
      </c>
      <c r="AT54" s="301">
        <f t="shared" ca="1" si="51"/>
        <v>0.99999773967570205</v>
      </c>
      <c r="AU54" s="301">
        <f t="shared" ca="1" si="52"/>
        <v>0.84273330813937641</v>
      </c>
      <c r="AV54" s="301">
        <f t="shared" si="53"/>
        <v>0</v>
      </c>
      <c r="AW54" s="302">
        <f t="shared" ca="1" si="54"/>
        <v>1.4036474063321074E-2</v>
      </c>
      <c r="AX54" s="314">
        <f t="shared" ca="1" si="55"/>
        <v>0.99374295272106827</v>
      </c>
      <c r="AY54" s="315">
        <f t="shared" ca="1" si="56"/>
        <v>0.99329767199251395</v>
      </c>
      <c r="AZ54" s="315">
        <f t="shared" ca="1" si="57"/>
        <v>0.79240501480716508</v>
      </c>
      <c r="BA54" s="301">
        <f t="shared" si="61"/>
        <v>0</v>
      </c>
      <c r="BB54" s="302">
        <f t="shared" ca="1" si="62"/>
        <v>1.3777196058726056E-2</v>
      </c>
      <c r="BC54" s="300">
        <f t="shared" ca="1" si="63"/>
        <v>6.2570472789316156E-3</v>
      </c>
      <c r="BD54" s="301">
        <f t="shared" ca="1" si="64"/>
        <v>0.35526635907067461</v>
      </c>
      <c r="BE54" s="301">
        <f t="shared" ca="1" si="65"/>
        <v>0.35510716975238593</v>
      </c>
      <c r="BF54" s="301">
        <f t="shared" ca="1" si="66"/>
        <v>0.28328738709446055</v>
      </c>
      <c r="BG54" s="301">
        <f t="shared" ca="1" si="67"/>
        <v>0</v>
      </c>
      <c r="BH54" s="302">
        <f t="shared" ca="1" si="68"/>
        <v>8.2036803547222344E-5</v>
      </c>
    </row>
    <row r="55" spans="1:60" x14ac:dyDescent="0.2">
      <c r="A55" s="335">
        <v>2038</v>
      </c>
      <c r="B55" s="925">
        <f t="shared" si="73"/>
        <v>141725.82999999999</v>
      </c>
      <c r="C55" s="926">
        <f t="shared" si="73"/>
        <v>6735.78</v>
      </c>
      <c r="D55" s="926">
        <f t="shared" si="73"/>
        <v>6972.2</v>
      </c>
      <c r="E55" s="926">
        <f t="shared" si="73"/>
        <v>20955.12</v>
      </c>
      <c r="F55" s="926">
        <f t="shared" si="73"/>
        <v>28881.82</v>
      </c>
      <c r="G55" s="927">
        <f t="shared" si="73"/>
        <v>11078.4</v>
      </c>
      <c r="H55" s="1090">
        <f t="shared" si="74"/>
        <v>1</v>
      </c>
      <c r="I55" s="1091">
        <f t="shared" si="74"/>
        <v>1</v>
      </c>
      <c r="J55" s="1091">
        <f t="shared" si="74"/>
        <v>1</v>
      </c>
      <c r="K55" s="1091">
        <f t="shared" si="74"/>
        <v>0.84263766048708677</v>
      </c>
      <c r="L55" s="1091">
        <f t="shared" si="74"/>
        <v>1</v>
      </c>
      <c r="M55" s="1092">
        <f t="shared" si="74"/>
        <v>1</v>
      </c>
      <c r="N55" s="307">
        <f t="shared" si="28"/>
        <v>9991.4552082415667</v>
      </c>
      <c r="O55" s="308">
        <f t="shared" si="29"/>
        <v>8505.6354112471126</v>
      </c>
      <c r="P55" s="308">
        <f t="shared" si="30"/>
        <v>8458.5994600539307</v>
      </c>
      <c r="Q55" s="308">
        <f t="shared" si="31"/>
        <v>8342.2205836991761</v>
      </c>
      <c r="R55" s="308">
        <f t="shared" si="32"/>
        <v>10012.764008679127</v>
      </c>
      <c r="S55" s="310">
        <f t="shared" si="33"/>
        <v>8805.0731176030022</v>
      </c>
      <c r="T55" s="307">
        <f t="shared" si="34"/>
        <v>1485.819796994454</v>
      </c>
      <c r="U55" s="308">
        <f t="shared" si="35"/>
        <v>1532.855748187636</v>
      </c>
      <c r="V55" s="308">
        <f t="shared" si="36"/>
        <v>1649.2346245423905</v>
      </c>
      <c r="W55" s="308">
        <f t="shared" si="37"/>
        <v>-21.308800437560421</v>
      </c>
      <c r="X55" s="310">
        <f t="shared" si="38"/>
        <v>1186.3820906385645</v>
      </c>
      <c r="Y55" s="311">
        <f ca="1">IF(AND(Y$22=TRUE,INDEX(CDRANGE_CLS2,MATCH($A55,$A$24:$A$67,0),MATCH(Y$20,$B$20:$G$20,0))&lt;$D$6/OPDAYS_Cls2),86,payback(C55,T55,disc_rate/12,85))</f>
        <v>5</v>
      </c>
      <c r="Z55" s="312">
        <f ca="1">IF(AND(Z$22=TRUE,INDEX(CDRANGE_CLS2,MATCH($A55,$A$24:$A$67,0),MATCH(Z$20,$B$20:$G$20,0))&lt;$D$6/OPDAYS_Cls2),86,payback(D55,U55,disc_rate/12,85))</f>
        <v>5</v>
      </c>
      <c r="AA55" s="312">
        <f ca="1">IF(AND(AA$22=TRUE,INDEX(CDRANGE_CLS2,MATCH($A55,$A$24:$A$67,0),MATCH(AA$20,$B$20:$G$20,0))&lt;$D$6/OPDAYS_Cls2),86,payback(E55,V55,disc_rate/12,85))</f>
        <v>14</v>
      </c>
      <c r="AB55" s="312">
        <f>IF(AND(AB$22=TRUE,INDEX(CDRANGE_CLS2,MATCH($A55,$A$24:$A$67,0),MATCH(AB$20,$B$20:$G$20,0))&lt;$D$6/OPDAYS_Cls2),86,payback(F55,W55,disc_rate/12,85))</f>
        <v>86</v>
      </c>
      <c r="AC55" s="313">
        <f ca="1">IF(AND(AC$22=TRUE,INDEX(CDRANGE_CLS2,MATCH($A55,$A$24:$A$67,0),MATCH(AC$20,$B$20:$G$20,0))&lt;$D$6/OPDAYS_Cls2),86,payback(G55,X55,disc_rate/12,85))</f>
        <v>10</v>
      </c>
      <c r="AD55" s="314">
        <f t="shared" si="39"/>
        <v>0</v>
      </c>
      <c r="AE55" s="315">
        <f t="shared" si="40"/>
        <v>0</v>
      </c>
      <c r="AF55" s="315">
        <f t="shared" si="41"/>
        <v>0</v>
      </c>
      <c r="AG55" s="315">
        <f t="shared" si="42"/>
        <v>0</v>
      </c>
      <c r="AH55" s="316">
        <f t="shared" si="43"/>
        <v>0</v>
      </c>
      <c r="AI55" s="317">
        <f t="shared" si="44"/>
        <v>0.49999958423598612</v>
      </c>
      <c r="AJ55" s="318">
        <f t="shared" si="45"/>
        <v>0.49999958423598612</v>
      </c>
      <c r="AK55" s="318">
        <f t="shared" si="46"/>
        <v>0.49999958423598612</v>
      </c>
      <c r="AL55" s="318">
        <f t="shared" si="47"/>
        <v>0.47598528374007315</v>
      </c>
      <c r="AM55" s="319">
        <f t="shared" si="48"/>
        <v>1.0317728173388992E-2</v>
      </c>
      <c r="AN55" s="317">
        <f t="shared" si="60"/>
        <v>0.99374519890748736</v>
      </c>
      <c r="AO55" s="318">
        <f t="shared" si="60"/>
        <v>0.99329991717245192</v>
      </c>
      <c r="AP55" s="318">
        <f t="shared" si="60"/>
        <v>0.94108038821520967</v>
      </c>
      <c r="AQ55" s="318">
        <f t="shared" si="60"/>
        <v>0.89104688432593881</v>
      </c>
      <c r="AR55" s="698">
        <f t="shared" si="60"/>
        <v>0.98317042377456954</v>
      </c>
      <c r="AS55" s="300">
        <f t="shared" ca="1" si="50"/>
        <v>0.99999916847197223</v>
      </c>
      <c r="AT55" s="301">
        <f t="shared" ca="1" si="51"/>
        <v>0.99999916847197223</v>
      </c>
      <c r="AU55" s="301">
        <f t="shared" ca="1" si="52"/>
        <v>0.87073692958461035</v>
      </c>
      <c r="AV55" s="301">
        <f t="shared" si="53"/>
        <v>0</v>
      </c>
      <c r="AW55" s="302">
        <f t="shared" ca="1" si="54"/>
        <v>1.9831302764099418E-2</v>
      </c>
      <c r="AX55" s="314">
        <f t="shared" ca="1" si="55"/>
        <v>0.99374437258050197</v>
      </c>
      <c r="AY55" s="315">
        <f t="shared" ca="1" si="56"/>
        <v>0.99329909121573079</v>
      </c>
      <c r="AZ55" s="315">
        <f t="shared" ca="1" si="57"/>
        <v>0.81943344772680482</v>
      </c>
      <c r="BA55" s="301">
        <f t="shared" si="61"/>
        <v>0</v>
      </c>
      <c r="BB55" s="302">
        <f t="shared" ca="1" si="62"/>
        <v>1.9497550342581417E-2</v>
      </c>
      <c r="BC55" s="300">
        <f t="shared" ca="1" si="63"/>
        <v>6.2556274194981443E-3</v>
      </c>
      <c r="BD55" s="301">
        <f t="shared" ca="1" si="64"/>
        <v>0.35182413959673636</v>
      </c>
      <c r="BE55" s="301">
        <f t="shared" ca="1" si="65"/>
        <v>0.35166649268334327</v>
      </c>
      <c r="BF55" s="301">
        <f t="shared" ca="1" si="66"/>
        <v>0.29011129588048645</v>
      </c>
      <c r="BG55" s="301">
        <f t="shared" ca="1" si="67"/>
        <v>0</v>
      </c>
      <c r="BH55" s="302">
        <f t="shared" ca="1" si="68"/>
        <v>1.4244441993585996E-4</v>
      </c>
    </row>
    <row r="56" spans="1:60" x14ac:dyDescent="0.2">
      <c r="A56" s="335">
        <v>2039</v>
      </c>
      <c r="B56" s="925">
        <f t="shared" si="73"/>
        <v>141725.82999999999</v>
      </c>
      <c r="C56" s="926">
        <f t="shared" si="73"/>
        <v>6735.78</v>
      </c>
      <c r="D56" s="926">
        <f t="shared" si="73"/>
        <v>6972.2</v>
      </c>
      <c r="E56" s="926">
        <f t="shared" si="73"/>
        <v>20808.759999999998</v>
      </c>
      <c r="F56" s="926">
        <f t="shared" si="73"/>
        <v>28302.85</v>
      </c>
      <c r="G56" s="927">
        <f t="shared" si="73"/>
        <v>10545.66</v>
      </c>
      <c r="H56" s="1090">
        <f t="shared" si="74"/>
        <v>1</v>
      </c>
      <c r="I56" s="1091">
        <f t="shared" si="74"/>
        <v>1</v>
      </c>
      <c r="J56" s="1091">
        <f t="shared" si="74"/>
        <v>1</v>
      </c>
      <c r="K56" s="1091">
        <f t="shared" si="74"/>
        <v>0.84253512987551848</v>
      </c>
      <c r="L56" s="1091">
        <f t="shared" si="74"/>
        <v>1</v>
      </c>
      <c r="M56" s="1092">
        <f t="shared" si="74"/>
        <v>1</v>
      </c>
      <c r="N56" s="307">
        <f t="shared" si="28"/>
        <v>10045.687516899658</v>
      </c>
      <c r="O56" s="308">
        <f t="shared" si="29"/>
        <v>8551.8028848875329</v>
      </c>
      <c r="P56" s="308">
        <f t="shared" si="30"/>
        <v>8504.5116287192523</v>
      </c>
      <c r="Q56" s="308">
        <f t="shared" si="31"/>
        <v>8299.5486676590554</v>
      </c>
      <c r="R56" s="308">
        <f t="shared" si="32"/>
        <v>9781.0009630862714</v>
      </c>
      <c r="S56" s="310">
        <f t="shared" si="33"/>
        <v>8491.2329242852575</v>
      </c>
      <c r="T56" s="307">
        <f t="shared" si="34"/>
        <v>1493.8846320121247</v>
      </c>
      <c r="U56" s="308">
        <f t="shared" si="35"/>
        <v>1541.1758881804053</v>
      </c>
      <c r="V56" s="308">
        <f t="shared" si="36"/>
        <v>1746.1388492406022</v>
      </c>
      <c r="W56" s="308">
        <f t="shared" si="37"/>
        <v>264.68655381338613</v>
      </c>
      <c r="X56" s="310">
        <f t="shared" si="38"/>
        <v>1554.4545926144001</v>
      </c>
      <c r="Y56" s="311">
        <f ca="1">IF(AND(Y$22=TRUE,INDEX(CDRANGE_CLS2,MATCH($A56,$A$24:$A$67,0),MATCH(Y$20,$B$20:$G$20,0))&lt;$D$6/OPDAYS_Cls2),86,payback(C56,T56,disc_rate/12,85))</f>
        <v>5</v>
      </c>
      <c r="Z56" s="312">
        <f ca="1">IF(AND(Z$22=TRUE,INDEX(CDRANGE_CLS2,MATCH($A56,$A$24:$A$67,0),MATCH(Z$20,$B$20:$G$20,0))&lt;$D$6/OPDAYS_Cls2),86,payback(D56,U56,disc_rate/12,85))</f>
        <v>5</v>
      </c>
      <c r="AA56" s="312">
        <f ca="1">IF(AND(AA$22=TRUE,INDEX(CDRANGE_CLS2,MATCH($A56,$A$24:$A$67,0),MATCH(AA$20,$B$20:$G$20,0))&lt;$D$6/OPDAYS_Cls2),86,payback(E56,V56,disc_rate/12,85))</f>
        <v>13</v>
      </c>
      <c r="AB56" s="312">
        <f>IF(AND(AB$22=TRUE,INDEX(CDRANGE_CLS2,MATCH($A56,$A$24:$A$67,0),MATCH(AB$20,$B$20:$G$20,0))&lt;$D$6/OPDAYS_Cls2),86,payback(F56,W56,disc_rate/12,85))</f>
        <v>86</v>
      </c>
      <c r="AC56" s="313">
        <f ca="1">IF(AND(AC$22=TRUE,INDEX(CDRANGE_CLS2,MATCH($A56,$A$24:$A$67,0),MATCH(AC$20,$B$20:$G$20,0))&lt;$D$6/OPDAYS_Cls2),86,payback(G56,X56,disc_rate/12,85))</f>
        <v>7</v>
      </c>
      <c r="AD56" s="314">
        <f t="shared" si="39"/>
        <v>0</v>
      </c>
      <c r="AE56" s="315">
        <f t="shared" si="40"/>
        <v>0</v>
      </c>
      <c r="AF56" s="315">
        <f t="shared" si="41"/>
        <v>0</v>
      </c>
      <c r="AG56" s="315">
        <f t="shared" si="42"/>
        <v>0</v>
      </c>
      <c r="AH56" s="316">
        <f t="shared" si="43"/>
        <v>0</v>
      </c>
      <c r="AI56" s="317">
        <f t="shared" si="44"/>
        <v>0.4999998470488865</v>
      </c>
      <c r="AJ56" s="318">
        <f t="shared" si="45"/>
        <v>0.4999998470488865</v>
      </c>
      <c r="AK56" s="318">
        <f t="shared" si="46"/>
        <v>0.4999998470488865</v>
      </c>
      <c r="AL56" s="318">
        <f t="shared" si="47"/>
        <v>0.48366031202821175</v>
      </c>
      <c r="AM56" s="319">
        <f t="shared" si="48"/>
        <v>1.5318900392023009E-2</v>
      </c>
      <c r="AN56" s="317">
        <f t="shared" si="60"/>
        <v>0.99374519890748736</v>
      </c>
      <c r="AO56" s="318">
        <f t="shared" si="60"/>
        <v>0.99329991717245192</v>
      </c>
      <c r="AP56" s="318">
        <f t="shared" si="60"/>
        <v>0.94187624150643323</v>
      </c>
      <c r="AQ56" s="318">
        <f t="shared" si="60"/>
        <v>0.89513600881586164</v>
      </c>
      <c r="AR56" s="698">
        <f t="shared" si="60"/>
        <v>0.98473799333265943</v>
      </c>
      <c r="AS56" s="300">
        <f t="shared" ca="1" si="50"/>
        <v>0.99999969409777301</v>
      </c>
      <c r="AT56" s="301">
        <f t="shared" ca="1" si="51"/>
        <v>0.99999969409777301</v>
      </c>
      <c r="AU56" s="301">
        <f t="shared" ca="1" si="52"/>
        <v>0.89687189989436622</v>
      </c>
      <c r="AV56" s="301">
        <f t="shared" si="53"/>
        <v>0</v>
      </c>
      <c r="AW56" s="302">
        <f t="shared" ca="1" si="54"/>
        <v>3.0537532006323555E-2</v>
      </c>
      <c r="AX56" s="314">
        <f t="shared" ca="1" si="55"/>
        <v>0.99374489491861795</v>
      </c>
      <c r="AY56" s="315">
        <f t="shared" ca="1" si="56"/>
        <v>0.99329961331979522</v>
      </c>
      <c r="AZ56" s="315">
        <f t="shared" ca="1" si="57"/>
        <v>0.8447423341852397</v>
      </c>
      <c r="BA56" s="301">
        <f t="shared" si="61"/>
        <v>0</v>
      </c>
      <c r="BB56" s="302">
        <f t="shared" ca="1" si="62"/>
        <v>3.0071467989238921E-2</v>
      </c>
      <c r="BC56" s="300">
        <f t="shared" ca="1" si="63"/>
        <v>6.2551050813821618E-3</v>
      </c>
      <c r="BD56" s="301">
        <f t="shared" ca="1" si="64"/>
        <v>0.3486165387269341</v>
      </c>
      <c r="BE56" s="301">
        <f t="shared" ca="1" si="65"/>
        <v>0.34846032908949681</v>
      </c>
      <c r="BF56" s="301">
        <f t="shared" ca="1" si="66"/>
        <v>0.29634481662810097</v>
      </c>
      <c r="BG56" s="301">
        <f t="shared" ca="1" si="67"/>
        <v>0</v>
      </c>
      <c r="BH56" s="302">
        <f t="shared" ca="1" si="68"/>
        <v>3.2321047408594719E-4</v>
      </c>
    </row>
    <row r="57" spans="1:60" ht="13.5" thickBot="1" x14ac:dyDescent="0.25">
      <c r="A57" s="320">
        <v>2040</v>
      </c>
      <c r="B57" s="919">
        <f t="shared" si="73"/>
        <v>141725.82999999999</v>
      </c>
      <c r="C57" s="920">
        <f t="shared" si="73"/>
        <v>6735.78</v>
      </c>
      <c r="D57" s="920">
        <f t="shared" si="73"/>
        <v>6972.2</v>
      </c>
      <c r="E57" s="920">
        <f t="shared" si="73"/>
        <v>20662.41</v>
      </c>
      <c r="F57" s="920">
        <f t="shared" si="73"/>
        <v>27723.88</v>
      </c>
      <c r="G57" s="921">
        <f t="shared" si="73"/>
        <v>10012.92</v>
      </c>
      <c r="H57" s="1084">
        <f t="shared" si="74"/>
        <v>1</v>
      </c>
      <c r="I57" s="1085">
        <f t="shared" si="74"/>
        <v>1</v>
      </c>
      <c r="J57" s="1085">
        <f t="shared" si="74"/>
        <v>1</v>
      </c>
      <c r="K57" s="1085">
        <f t="shared" si="74"/>
        <v>0.84243259926395031</v>
      </c>
      <c r="L57" s="1085">
        <f t="shared" si="74"/>
        <v>1</v>
      </c>
      <c r="M57" s="1086">
        <f t="shared" si="74"/>
        <v>1</v>
      </c>
      <c r="N57" s="321">
        <f t="shared" si="28"/>
        <v>10092.851385621505</v>
      </c>
      <c r="O57" s="322">
        <f t="shared" si="29"/>
        <v>8591.9530595689012</v>
      </c>
      <c r="P57" s="322">
        <f t="shared" si="30"/>
        <v>8544.4397739383385</v>
      </c>
      <c r="Q57" s="322">
        <f t="shared" si="31"/>
        <v>8233.8291476776685</v>
      </c>
      <c r="R57" s="322">
        <f t="shared" si="32"/>
        <v>9423.8527465604493</v>
      </c>
      <c r="S57" s="324">
        <f t="shared" si="33"/>
        <v>8220.9273181533918</v>
      </c>
      <c r="T57" s="321">
        <f t="shared" si="34"/>
        <v>1500.8983260526038</v>
      </c>
      <c r="U57" s="322">
        <f t="shared" si="35"/>
        <v>1548.4116116831665</v>
      </c>
      <c r="V57" s="322">
        <f t="shared" si="36"/>
        <v>1859.0222379438364</v>
      </c>
      <c r="W57" s="322">
        <f t="shared" si="37"/>
        <v>668.99863906105566</v>
      </c>
      <c r="X57" s="324">
        <f t="shared" si="38"/>
        <v>1871.9240674681132</v>
      </c>
      <c r="Y57" s="325">
        <f ca="1">IF(AND(Y$22=TRUE,INDEX(CDRANGE_CLS2,MATCH($A57,$A$24:$A$67,0),MATCH(Y$20,$B$20:$G$20,0))&lt;$D$6/OPDAYS_Cls2),86,payback(C57,T57,disc_rate/12,85))</f>
        <v>5</v>
      </c>
      <c r="Z57" s="326">
        <f ca="1">IF(AND(Z$22=TRUE,INDEX(CDRANGE_CLS2,MATCH($A57,$A$24:$A$67,0),MATCH(Z$20,$B$20:$G$20,0))&lt;$D$6/OPDAYS_Cls2),86,payback(D57,U57,disc_rate/12,85))</f>
        <v>5</v>
      </c>
      <c r="AA57" s="326">
        <f ca="1">IF(AND(AA$22=TRUE,INDEX(CDRANGE_CLS2,MATCH($A57,$A$24:$A$67,0),MATCH(AA$20,$B$20:$G$20,0))&lt;$D$6/OPDAYS_Cls2),86,payback(E57,V57,disc_rate/12,85))</f>
        <v>12</v>
      </c>
      <c r="AB57" s="326">
        <f>IF(AND(AB$22=TRUE,INDEX(CDRANGE_CLS2,MATCH($A57,$A$24:$A$67,0),MATCH(AB$20,$B$20:$G$20,0))&lt;$D$6/OPDAYS_Cls2),86,payback(F57,W57,disc_rate/12,85))</f>
        <v>86</v>
      </c>
      <c r="AC57" s="327">
        <f ca="1">IF(AND(AC$22=TRUE,INDEX(CDRANGE_CLS2,MATCH($A57,$A$24:$A$67,0),MATCH(AC$20,$B$20:$G$20,0))&lt;$D$6/OPDAYS_Cls2),86,payback(G57,X57,disc_rate/12,85))</f>
        <v>6</v>
      </c>
      <c r="AD57" s="328">
        <f t="shared" si="39"/>
        <v>0</v>
      </c>
      <c r="AE57" s="329">
        <f t="shared" si="40"/>
        <v>0</v>
      </c>
      <c r="AF57" s="329">
        <f t="shared" si="41"/>
        <v>0</v>
      </c>
      <c r="AG57" s="329">
        <f t="shared" si="42"/>
        <v>0</v>
      </c>
      <c r="AH57" s="330">
        <f t="shared" si="43"/>
        <v>0</v>
      </c>
      <c r="AI57" s="331">
        <f t="shared" si="44"/>
        <v>0.49999994373241896</v>
      </c>
      <c r="AJ57" s="332">
        <f t="shared" si="45"/>
        <v>0.49999994373241896</v>
      </c>
      <c r="AK57" s="332">
        <f t="shared" si="46"/>
        <v>0.49999994373241896</v>
      </c>
      <c r="AL57" s="332">
        <f t="shared" si="47"/>
        <v>0.49142590379710988</v>
      </c>
      <c r="AM57" s="333">
        <f t="shared" si="48"/>
        <v>2.1893484435886634E-2</v>
      </c>
      <c r="AN57" s="730">
        <f t="shared" si="60"/>
        <v>0.99374519890748736</v>
      </c>
      <c r="AO57" s="728">
        <f t="shared" si="60"/>
        <v>0.99329991717245192</v>
      </c>
      <c r="AP57" s="728">
        <f t="shared" si="60"/>
        <v>0.94266712882395709</v>
      </c>
      <c r="AQ57" s="728">
        <f t="shared" si="60"/>
        <v>0.8991605308844326</v>
      </c>
      <c r="AR57" s="729">
        <f t="shared" si="60"/>
        <v>0.98623064178930175</v>
      </c>
      <c r="AS57" s="337">
        <f t="shared" ca="1" si="50"/>
        <v>0.99999988746483792</v>
      </c>
      <c r="AT57" s="338">
        <f t="shared" ca="1" si="51"/>
        <v>0.99999988746483792</v>
      </c>
      <c r="AU57" s="338">
        <f t="shared" ca="1" si="52"/>
        <v>0.92083965475225571</v>
      </c>
      <c r="AV57" s="338">
        <f t="shared" si="53"/>
        <v>0</v>
      </c>
      <c r="AW57" s="339">
        <f t="shared" ca="1" si="54"/>
        <v>4.3786968871773267E-2</v>
      </c>
      <c r="AX57" s="328">
        <f t="shared" ca="1" si="55"/>
        <v>0.99374508707621034</v>
      </c>
      <c r="AY57" s="329">
        <f t="shared" ca="1" si="56"/>
        <v>0.99329980539128471</v>
      </c>
      <c r="AZ57" s="329">
        <f t="shared" ca="1" si="57"/>
        <v>0.86804527345255278</v>
      </c>
      <c r="BA57" s="329">
        <f t="shared" si="61"/>
        <v>0</v>
      </c>
      <c r="BB57" s="330">
        <f t="shared" ca="1" si="62"/>
        <v>4.318405041241713E-2</v>
      </c>
      <c r="BC57" s="328">
        <f t="shared" ca="1" si="63"/>
        <v>6.2549129237895462E-3</v>
      </c>
      <c r="BD57" s="329">
        <f t="shared" ca="1" si="64"/>
        <v>0.34565482783689755</v>
      </c>
      <c r="BE57" s="329">
        <f t="shared" ca="1" si="65"/>
        <v>0.34549994529594857</v>
      </c>
      <c r="BF57" s="329">
        <f t="shared" ca="1" si="66"/>
        <v>0.30193260168225056</v>
      </c>
      <c r="BG57" s="329">
        <f t="shared" ca="1" si="67"/>
        <v>0</v>
      </c>
      <c r="BH57" s="330">
        <f t="shared" ca="1" si="68"/>
        <v>6.5771226111373151E-4</v>
      </c>
    </row>
    <row r="58" spans="1:60" x14ac:dyDescent="0.2">
      <c r="A58" s="334">
        <v>2041</v>
      </c>
      <c r="B58" s="922">
        <f t="shared" si="73"/>
        <v>141725.82999999999</v>
      </c>
      <c r="C58" s="923">
        <f t="shared" si="73"/>
        <v>6735.78</v>
      </c>
      <c r="D58" s="923">
        <f t="shared" si="73"/>
        <v>6972.2</v>
      </c>
      <c r="E58" s="923">
        <f t="shared" si="73"/>
        <v>20516.060000000001</v>
      </c>
      <c r="F58" s="923">
        <f t="shared" si="73"/>
        <v>27144.91</v>
      </c>
      <c r="G58" s="924">
        <f t="shared" si="73"/>
        <v>9480.17</v>
      </c>
      <c r="H58" s="1087">
        <f t="shared" si="74"/>
        <v>1</v>
      </c>
      <c r="I58" s="1088">
        <f t="shared" si="74"/>
        <v>1</v>
      </c>
      <c r="J58" s="1088">
        <f t="shared" si="74"/>
        <v>1</v>
      </c>
      <c r="K58" s="1088">
        <f t="shared" si="74"/>
        <v>0.84233006865238202</v>
      </c>
      <c r="L58" s="1088">
        <f t="shared" si="74"/>
        <v>1</v>
      </c>
      <c r="M58" s="1089">
        <f t="shared" si="74"/>
        <v>1</v>
      </c>
      <c r="N58" s="293">
        <f t="shared" si="28"/>
        <v>10100.177209039368</v>
      </c>
      <c r="O58" s="294">
        <f t="shared" si="29"/>
        <v>8598.1894667569268</v>
      </c>
      <c r="P58" s="294">
        <f t="shared" si="30"/>
        <v>8550.6416939505198</v>
      </c>
      <c r="Q58" s="294">
        <f t="shared" si="31"/>
        <v>8117.403910783346</v>
      </c>
      <c r="R58" s="294">
        <f t="shared" si="32"/>
        <v>8902.9252376403638</v>
      </c>
      <c r="S58" s="296">
        <f t="shared" si="33"/>
        <v>7955.8811906407818</v>
      </c>
      <c r="T58" s="293">
        <f t="shared" si="34"/>
        <v>1501.9877422824411</v>
      </c>
      <c r="U58" s="294">
        <f t="shared" si="35"/>
        <v>1549.5355150888481</v>
      </c>
      <c r="V58" s="294">
        <f t="shared" si="36"/>
        <v>1982.7732982560219</v>
      </c>
      <c r="W58" s="294">
        <f t="shared" si="37"/>
        <v>1197.2519713990041</v>
      </c>
      <c r="X58" s="296">
        <f t="shared" si="38"/>
        <v>2144.2960183985861</v>
      </c>
      <c r="Y58" s="297">
        <f ca="1">IF(AND(Y$22=TRUE,INDEX(CDRANGE_CLS2,MATCH($A58,$A$24:$A$67,0),MATCH(Y$20,$B$20:$G$20,0))&lt;$D$6/OPDAYS_Cls2),86,payback(C58,T58,disc_rate/12,85))</f>
        <v>5</v>
      </c>
      <c r="Z58" s="298">
        <f ca="1">IF(AND(Z$22=TRUE,INDEX(CDRANGE_CLS2,MATCH($A58,$A$24:$A$67,0),MATCH(Z$20,$B$20:$G$20,0))&lt;$D$6/OPDAYS_Cls2),86,payback(D58,U58,disc_rate/12,85))</f>
        <v>5</v>
      </c>
      <c r="AA58" s="298">
        <f ca="1">IF(AND(AA$22=TRUE,INDEX(CDRANGE_CLS2,MATCH($A58,$A$24:$A$67,0),MATCH(AA$20,$B$20:$G$20,0))&lt;$D$6/OPDAYS_Cls2),86,payback(E58,V58,disc_rate/12,85))</f>
        <v>11</v>
      </c>
      <c r="AB58" s="298">
        <f>IF(AND(AB$22=TRUE,INDEX(CDRANGE_CLS2,MATCH($A58,$A$24:$A$67,0),MATCH(AB$20,$B$20:$G$20,0))&lt;$D$6/OPDAYS_Cls2),86,payback(F58,W58,disc_rate/12,85))</f>
        <v>86</v>
      </c>
      <c r="AC58" s="299">
        <f ca="1">IF(AND(AC$22=TRUE,INDEX(CDRANGE_CLS2,MATCH($A58,$A$24:$A$67,0),MATCH(AC$20,$B$20:$G$20,0))&lt;$D$6/OPDAYS_Cls2),86,payback(G58,X58,disc_rate/12,85))</f>
        <v>5</v>
      </c>
      <c r="AD58" s="300">
        <f t="shared" si="39"/>
        <v>0</v>
      </c>
      <c r="AE58" s="301">
        <f t="shared" si="40"/>
        <v>0</v>
      </c>
      <c r="AF58" s="301">
        <f t="shared" si="41"/>
        <v>0</v>
      </c>
      <c r="AG58" s="301">
        <f t="shared" si="42"/>
        <v>0</v>
      </c>
      <c r="AH58" s="302">
        <f t="shared" si="43"/>
        <v>0</v>
      </c>
      <c r="AI58" s="303">
        <f t="shared" si="44"/>
        <v>0.4999999793003122</v>
      </c>
      <c r="AJ58" s="304">
        <f t="shared" si="45"/>
        <v>0.4999999793003122</v>
      </c>
      <c r="AK58" s="304">
        <f t="shared" si="46"/>
        <v>0.4999999793003122</v>
      </c>
      <c r="AL58" s="304">
        <f t="shared" si="47"/>
        <v>0.49468308424356083</v>
      </c>
      <c r="AM58" s="305">
        <f t="shared" si="48"/>
        <v>3.0293467339131446E-2</v>
      </c>
      <c r="AN58" s="743">
        <f t="shared" si="60"/>
        <v>0.99374519890748736</v>
      </c>
      <c r="AO58" s="741">
        <f t="shared" si="60"/>
        <v>0.99329991717245192</v>
      </c>
      <c r="AP58" s="741">
        <f t="shared" si="60"/>
        <v>0.94345309121325815</v>
      </c>
      <c r="AQ58" s="741">
        <f t="shared" si="60"/>
        <v>0.90311941218425806</v>
      </c>
      <c r="AR58" s="742">
        <f t="shared" si="60"/>
        <v>0.9876480469682839</v>
      </c>
      <c r="AS58" s="300">
        <f t="shared" ca="1" si="50"/>
        <v>0.99999995860062441</v>
      </c>
      <c r="AT58" s="301">
        <f t="shared" ca="1" si="51"/>
        <v>0.99999995860062441</v>
      </c>
      <c r="AU58" s="301">
        <f t="shared" ca="1" si="52"/>
        <v>0.94233238714453482</v>
      </c>
      <c r="AV58" s="301">
        <f t="shared" si="53"/>
        <v>0</v>
      </c>
      <c r="AW58" s="302">
        <f t="shared" ca="1" si="54"/>
        <v>6.0586934678262892E-2</v>
      </c>
      <c r="AX58" s="300">
        <f t="shared" ca="1" si="55"/>
        <v>0.99374515776705663</v>
      </c>
      <c r="AY58" s="301">
        <f t="shared" ca="1" si="56"/>
        <v>0.99329987605045555</v>
      </c>
      <c r="AZ58" s="301">
        <f t="shared" ca="1" si="57"/>
        <v>0.88904640360188014</v>
      </c>
      <c r="BA58" s="301">
        <f t="shared" si="61"/>
        <v>0</v>
      </c>
      <c r="BB58" s="302">
        <f t="shared" ca="1" si="62"/>
        <v>5.9838567706781337E-2</v>
      </c>
      <c r="BC58" s="300">
        <f t="shared" ca="1" si="63"/>
        <v>6.2548422329433695E-3</v>
      </c>
      <c r="BD58" s="301">
        <f t="shared" ca="1" si="64"/>
        <v>0.34292587853249523</v>
      </c>
      <c r="BE58" s="301">
        <f t="shared" ca="1" si="65"/>
        <v>0.3427722187911959</v>
      </c>
      <c r="BF58" s="301">
        <f t="shared" ca="1" si="66"/>
        <v>0.30679597946055726</v>
      </c>
      <c r="BG58" s="301">
        <f t="shared" ca="1" si="67"/>
        <v>0</v>
      </c>
      <c r="BH58" s="302">
        <f t="shared" ca="1" si="68"/>
        <v>1.2510809828082542E-3</v>
      </c>
    </row>
    <row r="59" spans="1:60" x14ac:dyDescent="0.2">
      <c r="A59" s="335">
        <v>2042</v>
      </c>
      <c r="B59" s="925">
        <f t="shared" si="73"/>
        <v>141725.82999999999</v>
      </c>
      <c r="C59" s="926">
        <f t="shared" si="73"/>
        <v>6735.78</v>
      </c>
      <c r="D59" s="926">
        <f t="shared" si="73"/>
        <v>6972.2</v>
      </c>
      <c r="E59" s="926">
        <f t="shared" si="73"/>
        <v>20369.7</v>
      </c>
      <c r="F59" s="926">
        <f t="shared" si="73"/>
        <v>26565.95</v>
      </c>
      <c r="G59" s="927">
        <f t="shared" si="73"/>
        <v>8947.43</v>
      </c>
      <c r="H59" s="1090">
        <f t="shared" si="74"/>
        <v>1</v>
      </c>
      <c r="I59" s="1091">
        <f t="shared" si="74"/>
        <v>1</v>
      </c>
      <c r="J59" s="1091">
        <f t="shared" si="74"/>
        <v>1</v>
      </c>
      <c r="K59" s="1091">
        <f t="shared" si="74"/>
        <v>0.84222753804081374</v>
      </c>
      <c r="L59" s="1091">
        <f t="shared" si="74"/>
        <v>1</v>
      </c>
      <c r="M59" s="1092">
        <f t="shared" si="74"/>
        <v>1</v>
      </c>
      <c r="N59" s="307">
        <f t="shared" si="28"/>
        <v>10157.593031664395</v>
      </c>
      <c r="O59" s="308">
        <f t="shared" si="29"/>
        <v>8647.0670370314219</v>
      </c>
      <c r="P59" s="308">
        <f t="shared" si="30"/>
        <v>8599.2489724832794</v>
      </c>
      <c r="Q59" s="308">
        <f t="shared" si="31"/>
        <v>8008.2461365995632</v>
      </c>
      <c r="R59" s="308">
        <f t="shared" si="32"/>
        <v>8199.0728600598104</v>
      </c>
      <c r="S59" s="310">
        <f t="shared" si="33"/>
        <v>7732.5900570822023</v>
      </c>
      <c r="T59" s="307">
        <f t="shared" si="34"/>
        <v>1510.5259946329734</v>
      </c>
      <c r="U59" s="308">
        <f t="shared" si="35"/>
        <v>1558.3440591811159</v>
      </c>
      <c r="V59" s="308">
        <f t="shared" si="36"/>
        <v>2149.3468950648321</v>
      </c>
      <c r="W59" s="308">
        <f t="shared" si="37"/>
        <v>1958.5201716045849</v>
      </c>
      <c r="X59" s="310">
        <f t="shared" si="38"/>
        <v>2425.002974582193</v>
      </c>
      <c r="Y59" s="311">
        <f ca="1">IF(AND(Y$22=TRUE,INDEX(CDRANGE_CLS2,MATCH($A59,$A$24:$A$67,0),MATCH(Y$20,$B$20:$G$20,0))&lt;$D$6/OPDAYS_Cls2),86,payback(C59,T59,disc_rate/12,85))</f>
        <v>5</v>
      </c>
      <c r="Z59" s="312">
        <f ca="1">IF(AND(Z$22=TRUE,INDEX(CDRANGE_CLS2,MATCH($A59,$A$24:$A$67,0),MATCH(Z$20,$B$20:$G$20,0))&lt;$D$6/OPDAYS_Cls2),86,payback(D59,U59,disc_rate/12,85))</f>
        <v>5</v>
      </c>
      <c r="AA59" s="312">
        <f ca="1">IF(AND(AA$22=TRUE,INDEX(CDRANGE_CLS2,MATCH($A59,$A$24:$A$67,0),MATCH(AA$20,$B$20:$G$20,0))&lt;$D$6/OPDAYS_Cls2),86,payback(E59,V59,disc_rate/12,85))</f>
        <v>10</v>
      </c>
      <c r="AB59" s="312">
        <f>IF(AND(AB$22=TRUE,INDEX(CDRANGE_CLS2,MATCH($A59,$A$24:$A$67,0),MATCH(AB$20,$B$20:$G$20,0))&lt;$D$6/OPDAYS_Cls2),86,payback(F59,W59,disc_rate/12,85))</f>
        <v>86</v>
      </c>
      <c r="AC59" s="313">
        <f ca="1">IF(AND(AC$22=TRUE,INDEX(CDRANGE_CLS2,MATCH($A59,$A$24:$A$67,0),MATCH(AC$20,$B$20:$G$20,0))&lt;$D$6/OPDAYS_Cls2),86,payback(G59,X59,disc_rate/12,85))</f>
        <v>4</v>
      </c>
      <c r="AD59" s="314">
        <f t="shared" si="39"/>
        <v>0</v>
      </c>
      <c r="AE59" s="315">
        <f t="shared" si="40"/>
        <v>0</v>
      </c>
      <c r="AF59" s="315">
        <f t="shared" si="41"/>
        <v>0</v>
      </c>
      <c r="AG59" s="315">
        <f t="shared" si="42"/>
        <v>0</v>
      </c>
      <c r="AH59" s="316">
        <f t="shared" si="43"/>
        <v>0</v>
      </c>
      <c r="AI59" s="317">
        <f t="shared" si="44"/>
        <v>0.49999999238501025</v>
      </c>
      <c r="AJ59" s="318">
        <f t="shared" si="45"/>
        <v>0.49999999238501025</v>
      </c>
      <c r="AK59" s="318">
        <f t="shared" si="46"/>
        <v>0.49999999238501025</v>
      </c>
      <c r="AL59" s="318">
        <f t="shared" si="47"/>
        <v>0.4975971318356136</v>
      </c>
      <c r="AM59" s="319">
        <f t="shared" si="48"/>
        <v>4.0757891831784555E-2</v>
      </c>
      <c r="AN59" s="317">
        <f t="shared" si="60"/>
        <v>0.99374519890748736</v>
      </c>
      <c r="AO59" s="318">
        <f t="shared" si="60"/>
        <v>0.99329991717245192</v>
      </c>
      <c r="AP59" s="318">
        <f t="shared" si="60"/>
        <v>0.94423416845000174</v>
      </c>
      <c r="AQ59" s="318">
        <f t="shared" si="60"/>
        <v>0.90701156139989514</v>
      </c>
      <c r="AR59" s="698">
        <f t="shared" si="60"/>
        <v>0.98898982480443098</v>
      </c>
      <c r="AS59" s="300">
        <f t="shared" ca="1" si="50"/>
        <v>0.9999999847700205</v>
      </c>
      <c r="AT59" s="301">
        <f t="shared" ca="1" si="51"/>
        <v>0.9999999847700205</v>
      </c>
      <c r="AU59" s="301">
        <f t="shared" ca="1" si="52"/>
        <v>0.9610304772913606</v>
      </c>
      <c r="AV59" s="301">
        <f t="shared" si="53"/>
        <v>0</v>
      </c>
      <c r="AW59" s="302">
        <f t="shared" ca="1" si="54"/>
        <v>8.1515783663569111E-2</v>
      </c>
      <c r="AX59" s="314">
        <f t="shared" ca="1" si="55"/>
        <v>0.99374518377276833</v>
      </c>
      <c r="AY59" s="315">
        <f t="shared" ca="1" si="56"/>
        <v>0.99329990204451457</v>
      </c>
      <c r="AZ59" s="315">
        <f t="shared" ca="1" si="57"/>
        <v>0.90743781358031617</v>
      </c>
      <c r="BA59" s="301">
        <f t="shared" si="61"/>
        <v>0</v>
      </c>
      <c r="BB59" s="302">
        <f t="shared" ca="1" si="62"/>
        <v>8.0618280604229112E-2</v>
      </c>
      <c r="BC59" s="300">
        <f t="shared" ca="1" si="63"/>
        <v>6.2548162272316743E-3</v>
      </c>
      <c r="BD59" s="301">
        <f t="shared" ca="1" si="64"/>
        <v>0.34040362538113189</v>
      </c>
      <c r="BE59" s="301">
        <f t="shared" ca="1" si="65"/>
        <v>0.34025109582215768</v>
      </c>
      <c r="BF59" s="301">
        <f t="shared" ca="1" si="66"/>
        <v>0.3108393646527598</v>
      </c>
      <c r="BG59" s="301">
        <f t="shared" ca="1" si="67"/>
        <v>0</v>
      </c>
      <c r="BH59" s="302">
        <f t="shared" ca="1" si="68"/>
        <v>2.2510979167188285E-3</v>
      </c>
    </row>
    <row r="60" spans="1:60" x14ac:dyDescent="0.2">
      <c r="A60" s="335">
        <v>2043</v>
      </c>
      <c r="B60" s="925">
        <f t="shared" si="73"/>
        <v>141725.82999999999</v>
      </c>
      <c r="C60" s="926">
        <f t="shared" si="73"/>
        <v>6735.78</v>
      </c>
      <c r="D60" s="926">
        <f t="shared" si="73"/>
        <v>6972.2</v>
      </c>
      <c r="E60" s="926">
        <f t="shared" si="73"/>
        <v>20223.349999999999</v>
      </c>
      <c r="F60" s="926">
        <f t="shared" si="73"/>
        <v>25986.98</v>
      </c>
      <c r="G60" s="927">
        <f t="shared" si="73"/>
        <v>8414.69</v>
      </c>
      <c r="H60" s="1090">
        <f t="shared" si="74"/>
        <v>1</v>
      </c>
      <c r="I60" s="1091">
        <f t="shared" si="74"/>
        <v>1</v>
      </c>
      <c r="J60" s="1091">
        <f t="shared" si="74"/>
        <v>1</v>
      </c>
      <c r="K60" s="1091">
        <f t="shared" si="74"/>
        <v>0.84212500742924545</v>
      </c>
      <c r="L60" s="1091">
        <f t="shared" si="74"/>
        <v>1</v>
      </c>
      <c r="M60" s="1092">
        <f t="shared" si="74"/>
        <v>1</v>
      </c>
      <c r="N60" s="307">
        <f t="shared" si="28"/>
        <v>10157.55554728423</v>
      </c>
      <c r="O60" s="308">
        <f t="shared" si="29"/>
        <v>8647.0351269177627</v>
      </c>
      <c r="P60" s="308">
        <f t="shared" si="30"/>
        <v>8599.2172388317522</v>
      </c>
      <c r="Q60" s="308">
        <f t="shared" si="31"/>
        <v>7838.924788882061</v>
      </c>
      <c r="R60" s="308">
        <f t="shared" si="32"/>
        <v>7345.6696536670379</v>
      </c>
      <c r="S60" s="310">
        <f t="shared" si="33"/>
        <v>7531.709322021251</v>
      </c>
      <c r="T60" s="307">
        <f t="shared" si="34"/>
        <v>1510.5204203664671</v>
      </c>
      <c r="U60" s="308">
        <f t="shared" si="35"/>
        <v>1558.3383084524776</v>
      </c>
      <c r="V60" s="308">
        <f t="shared" si="36"/>
        <v>2318.6307584021688</v>
      </c>
      <c r="W60" s="308">
        <f t="shared" si="37"/>
        <v>2811.8858936171919</v>
      </c>
      <c r="X60" s="310">
        <f t="shared" si="38"/>
        <v>2625.8462252629788</v>
      </c>
      <c r="Y60" s="311">
        <f ca="1">IF(AND(Y$22=TRUE,INDEX(CDRANGE_CLS2,MATCH($A60,$A$24:$A$67,0),MATCH(Y$20,$B$20:$G$20,0))&lt;$D$6/OPDAYS_Cls2),86,payback(C60,T60,disc_rate/12,85))</f>
        <v>5</v>
      </c>
      <c r="Z60" s="312">
        <f ca="1">IF(AND(Z$22=TRUE,INDEX(CDRANGE_CLS2,MATCH($A60,$A$24:$A$67,0),MATCH(Z$20,$B$20:$G$20,0))&lt;$D$6/OPDAYS_Cls2),86,payback(D60,U60,disc_rate/12,85))</f>
        <v>5</v>
      </c>
      <c r="AA60" s="312">
        <f ca="1">IF(AND(AA$22=TRUE,INDEX(CDRANGE_CLS2,MATCH($A60,$A$24:$A$67,0),MATCH(AA$20,$B$20:$G$20,0))&lt;$D$6/OPDAYS_Cls2),86,payback(E60,V60,disc_rate/12,85))</f>
        <v>9</v>
      </c>
      <c r="AB60" s="312">
        <f>IF(AND(AB$22=TRUE,INDEX(CDRANGE_CLS2,MATCH($A60,$A$24:$A$67,0),MATCH(AB$20,$B$20:$G$20,0))&lt;$D$6/OPDAYS_Cls2),86,payback(F60,W60,disc_rate/12,85))</f>
        <v>86</v>
      </c>
      <c r="AC60" s="313">
        <f ca="1">IF(AND(AC$22=TRUE,INDEX(CDRANGE_CLS2,MATCH($A60,$A$24:$A$67,0),MATCH(AC$20,$B$20:$G$20,0))&lt;$D$6/OPDAYS_Cls2),86,payback(G60,X60,disc_rate/12,85))</f>
        <v>4</v>
      </c>
      <c r="AD60" s="314">
        <f t="shared" si="39"/>
        <v>0</v>
      </c>
      <c r="AE60" s="315">
        <f t="shared" si="40"/>
        <v>0</v>
      </c>
      <c r="AF60" s="315">
        <f t="shared" si="41"/>
        <v>0</v>
      </c>
      <c r="AG60" s="315">
        <f t="shared" si="42"/>
        <v>0</v>
      </c>
      <c r="AH60" s="316">
        <f t="shared" si="43"/>
        <v>0</v>
      </c>
      <c r="AI60" s="317">
        <f t="shared" si="44"/>
        <v>0.49999999719860178</v>
      </c>
      <c r="AJ60" s="318">
        <f t="shared" si="45"/>
        <v>0.49999999719860178</v>
      </c>
      <c r="AK60" s="318">
        <f t="shared" si="46"/>
        <v>0.49999999719860178</v>
      </c>
      <c r="AL60" s="318">
        <f t="shared" si="47"/>
        <v>0.49866062749505108</v>
      </c>
      <c r="AM60" s="319">
        <f t="shared" si="48"/>
        <v>5.3498330632972865E-2</v>
      </c>
      <c r="AN60" s="317">
        <f t="shared" si="60"/>
        <v>0.99374519890748736</v>
      </c>
      <c r="AO60" s="318">
        <f t="shared" si="60"/>
        <v>0.99329991717245192</v>
      </c>
      <c r="AP60" s="318">
        <f t="shared" si="60"/>
        <v>0.94501024045421267</v>
      </c>
      <c r="AQ60" s="318">
        <f t="shared" si="60"/>
        <v>0.91083610244643431</v>
      </c>
      <c r="AR60" s="698">
        <f t="shared" si="60"/>
        <v>0.99025568911430906</v>
      </c>
      <c r="AS60" s="300">
        <f t="shared" ca="1" si="50"/>
        <v>0.99999999439720355</v>
      </c>
      <c r="AT60" s="301">
        <f t="shared" ca="1" si="51"/>
        <v>0.99999999439720355</v>
      </c>
      <c r="AU60" s="301">
        <f t="shared" ca="1" si="52"/>
        <v>0.97659516623265696</v>
      </c>
      <c r="AV60" s="301">
        <f t="shared" si="53"/>
        <v>0</v>
      </c>
      <c r="AW60" s="302">
        <f t="shared" ca="1" si="54"/>
        <v>0.10699666126594573</v>
      </c>
      <c r="AX60" s="314">
        <f t="shared" ca="1" si="55"/>
        <v>0.99374519333973532</v>
      </c>
      <c r="AY60" s="315">
        <f t="shared" ca="1" si="56"/>
        <v>0.99329991160719466</v>
      </c>
      <c r="AZ60" s="315">
        <f t="shared" ca="1" si="57"/>
        <v>0.92289243286794498</v>
      </c>
      <c r="BA60" s="301">
        <f t="shared" si="61"/>
        <v>0</v>
      </c>
      <c r="BB60" s="302">
        <f t="shared" ca="1" si="62"/>
        <v>0.10595405253483939</v>
      </c>
      <c r="BC60" s="300">
        <f t="shared" ca="1" si="63"/>
        <v>6.2548066602649E-3</v>
      </c>
      <c r="BD60" s="301">
        <f t="shared" ca="1" si="64"/>
        <v>0.33804751583540138</v>
      </c>
      <c r="BE60" s="301">
        <f t="shared" ca="1" si="65"/>
        <v>0.33789604201239215</v>
      </c>
      <c r="BF60" s="301">
        <f t="shared" ca="1" si="66"/>
        <v>0.31394516059575089</v>
      </c>
      <c r="BG60" s="301">
        <f t="shared" ca="1" si="67"/>
        <v>0</v>
      </c>
      <c r="BH60" s="302">
        <f t="shared" ca="1" si="68"/>
        <v>3.8564748961908281E-3</v>
      </c>
    </row>
    <row r="61" spans="1:60" x14ac:dyDescent="0.2">
      <c r="A61" s="335">
        <v>2044</v>
      </c>
      <c r="B61" s="925">
        <f t="shared" si="73"/>
        <v>141725.82999999999</v>
      </c>
      <c r="C61" s="926">
        <f t="shared" si="73"/>
        <v>6735.78</v>
      </c>
      <c r="D61" s="926">
        <f t="shared" si="73"/>
        <v>6972.2</v>
      </c>
      <c r="E61" s="926">
        <f t="shared" si="73"/>
        <v>20076.990000000002</v>
      </c>
      <c r="F61" s="926">
        <f t="shared" si="73"/>
        <v>25408.01</v>
      </c>
      <c r="G61" s="927">
        <f t="shared" si="73"/>
        <v>7881.94</v>
      </c>
      <c r="H61" s="1090">
        <f t="shared" si="74"/>
        <v>1</v>
      </c>
      <c r="I61" s="1091">
        <f t="shared" si="74"/>
        <v>1</v>
      </c>
      <c r="J61" s="1091">
        <f t="shared" si="74"/>
        <v>1</v>
      </c>
      <c r="K61" s="1091">
        <f t="shared" si="74"/>
        <v>0.84202247681767717</v>
      </c>
      <c r="L61" s="1091">
        <f t="shared" si="74"/>
        <v>1</v>
      </c>
      <c r="M61" s="1092">
        <f t="shared" si="74"/>
        <v>1</v>
      </c>
      <c r="N61" s="307">
        <f t="shared" si="28"/>
        <v>10115.677682582604</v>
      </c>
      <c r="O61" s="308">
        <f t="shared" si="29"/>
        <v>8611.3848796284856</v>
      </c>
      <c r="P61" s="308">
        <f t="shared" si="30"/>
        <v>8563.7641365187683</v>
      </c>
      <c r="Q61" s="308">
        <f t="shared" si="31"/>
        <v>7641.0715296594781</v>
      </c>
      <c r="R61" s="308">
        <f t="shared" si="32"/>
        <v>6483.2333036280543</v>
      </c>
      <c r="S61" s="310">
        <f t="shared" si="33"/>
        <v>7316.6492150435897</v>
      </c>
      <c r="T61" s="307">
        <f t="shared" si="34"/>
        <v>1504.2928029541181</v>
      </c>
      <c r="U61" s="308">
        <f t="shared" si="35"/>
        <v>1551.9135460638354</v>
      </c>
      <c r="V61" s="308">
        <f t="shared" si="36"/>
        <v>2474.6061529231256</v>
      </c>
      <c r="W61" s="308">
        <f t="shared" si="37"/>
        <v>3632.4443789545494</v>
      </c>
      <c r="X61" s="310">
        <f t="shared" si="38"/>
        <v>2799.0284675390139</v>
      </c>
      <c r="Y61" s="311">
        <f ca="1">IF(AND(Y$22=TRUE,INDEX(CDRANGE_CLS2,MATCH($A61,$A$24:$A$67,0),MATCH(Y$20,$B$20:$G$20,0))&lt;$D$6/OPDAYS_Cls2),86,payback(C61,T61,disc_rate/12,85))</f>
        <v>5</v>
      </c>
      <c r="Z61" s="312">
        <f ca="1">IF(AND(Z$22=TRUE,INDEX(CDRANGE_CLS2,MATCH($A61,$A$24:$A$67,0),MATCH(Z$20,$B$20:$G$20,0))&lt;$D$6/OPDAYS_Cls2),86,payback(D61,U61,disc_rate/12,85))</f>
        <v>5</v>
      </c>
      <c r="AA61" s="312">
        <f ca="1">IF(AND(AA$22=TRUE,INDEX(CDRANGE_CLS2,MATCH($A61,$A$24:$A$67,0),MATCH(AA$20,$B$20:$G$20,0))&lt;$D$6/OPDAYS_Cls2),86,payback(E61,V61,disc_rate/12,85))</f>
        <v>9</v>
      </c>
      <c r="AB61" s="312">
        <f>IF(AND(AB$22=TRUE,INDEX(CDRANGE_CLS2,MATCH($A61,$A$24:$A$67,0),MATCH(AB$20,$B$20:$G$20,0))&lt;$D$6/OPDAYS_Cls2),86,payback(F61,W61,disc_rate/12,85))</f>
        <v>86</v>
      </c>
      <c r="AC61" s="313">
        <f ca="1">IF(AND(AC$22=TRUE,INDEX(CDRANGE_CLS2,MATCH($A61,$A$24:$A$67,0),MATCH(AC$20,$B$20:$G$20,0))&lt;$D$6/OPDAYS_Cls2),86,payback(G61,X61,disc_rate/12,85))</f>
        <v>3</v>
      </c>
      <c r="AD61" s="314">
        <f t="shared" si="39"/>
        <v>0</v>
      </c>
      <c r="AE61" s="315">
        <f t="shared" si="40"/>
        <v>0</v>
      </c>
      <c r="AF61" s="315">
        <f t="shared" si="41"/>
        <v>0</v>
      </c>
      <c r="AG61" s="315">
        <f t="shared" si="42"/>
        <v>0</v>
      </c>
      <c r="AH61" s="316">
        <f t="shared" si="43"/>
        <v>0</v>
      </c>
      <c r="AI61" s="317">
        <f t="shared" si="44"/>
        <v>0.49999999896942315</v>
      </c>
      <c r="AJ61" s="318">
        <f t="shared" si="45"/>
        <v>0.49999999896942315</v>
      </c>
      <c r="AK61" s="318">
        <f t="shared" si="46"/>
        <v>0.49999999896942315</v>
      </c>
      <c r="AL61" s="318">
        <f t="shared" si="47"/>
        <v>0.4992875107517955</v>
      </c>
      <c r="AM61" s="319">
        <f t="shared" si="48"/>
        <v>6.0776630199764439E-2</v>
      </c>
      <c r="AN61" s="317">
        <f t="shared" si="60"/>
        <v>0.99374519890748736</v>
      </c>
      <c r="AO61" s="318">
        <f t="shared" si="60"/>
        <v>0.99329991717245192</v>
      </c>
      <c r="AP61" s="318">
        <f t="shared" si="60"/>
        <v>0.94578140001243272</v>
      </c>
      <c r="AQ61" s="318">
        <f t="shared" si="60"/>
        <v>0.91459197152031091</v>
      </c>
      <c r="AR61" s="698">
        <f t="shared" si="60"/>
        <v>0.9914453654900055</v>
      </c>
      <c r="AS61" s="300">
        <f t="shared" ca="1" si="50"/>
        <v>0.99999999793884631</v>
      </c>
      <c r="AT61" s="301">
        <f t="shared" ca="1" si="51"/>
        <v>0.99999999793884631</v>
      </c>
      <c r="AU61" s="301">
        <f t="shared" ca="1" si="52"/>
        <v>0.97659516969140825</v>
      </c>
      <c r="AV61" s="301">
        <f t="shared" si="53"/>
        <v>0</v>
      </c>
      <c r="AW61" s="302">
        <f t="shared" ca="1" si="54"/>
        <v>0.12155326039952888</v>
      </c>
      <c r="AX61" s="314">
        <f t="shared" ca="1" si="55"/>
        <v>0.9937451968592258</v>
      </c>
      <c r="AY61" s="315">
        <f t="shared" ca="1" si="56"/>
        <v>0.99329991512510818</v>
      </c>
      <c r="AZ61" s="315">
        <f t="shared" ca="1" si="57"/>
        <v>0.92364554683611944</v>
      </c>
      <c r="BA61" s="301">
        <f t="shared" si="61"/>
        <v>0</v>
      </c>
      <c r="BB61" s="302">
        <f t="shared" ca="1" si="62"/>
        <v>0.12051341668331272</v>
      </c>
      <c r="BC61" s="300">
        <f t="shared" ca="1" si="63"/>
        <v>6.2548031407742011E-3</v>
      </c>
      <c r="BD61" s="301">
        <f t="shared" ca="1" si="64"/>
        <v>0.33757775143844798</v>
      </c>
      <c r="BE61" s="301">
        <f t="shared" ca="1" si="65"/>
        <v>0.33742648810954323</v>
      </c>
      <c r="BF61" s="301">
        <f t="shared" ca="1" si="66"/>
        <v>0.31376472340448741</v>
      </c>
      <c r="BG61" s="301">
        <f t="shared" ca="1" si="67"/>
        <v>0</v>
      </c>
      <c r="BH61" s="302">
        <f t="shared" ca="1" si="68"/>
        <v>4.976233906747252E-3</v>
      </c>
    </row>
    <row r="62" spans="1:60" ht="13.5" thickBot="1" x14ac:dyDescent="0.25">
      <c r="A62" s="320">
        <v>2045</v>
      </c>
      <c r="B62" s="928">
        <f t="shared" si="73"/>
        <v>141725.82999999999</v>
      </c>
      <c r="C62" s="929">
        <f t="shared" si="73"/>
        <v>6735.78</v>
      </c>
      <c r="D62" s="929">
        <f t="shared" si="73"/>
        <v>6972.2</v>
      </c>
      <c r="E62" s="929">
        <f t="shared" si="73"/>
        <v>19930.64</v>
      </c>
      <c r="F62" s="929">
        <f t="shared" si="73"/>
        <v>24829.040000000001</v>
      </c>
      <c r="G62" s="930">
        <f t="shared" si="73"/>
        <v>7349.2</v>
      </c>
      <c r="H62" s="1084">
        <f t="shared" si="74"/>
        <v>1</v>
      </c>
      <c r="I62" s="1085">
        <f t="shared" si="74"/>
        <v>1</v>
      </c>
      <c r="J62" s="1085">
        <f t="shared" si="74"/>
        <v>1</v>
      </c>
      <c r="K62" s="1085">
        <f t="shared" si="74"/>
        <v>0.84191994620610888</v>
      </c>
      <c r="L62" s="1085">
        <f t="shared" si="74"/>
        <v>1</v>
      </c>
      <c r="M62" s="1086">
        <f t="shared" si="74"/>
        <v>1</v>
      </c>
      <c r="N62" s="321">
        <f t="shared" si="28"/>
        <v>10129.863594448667</v>
      </c>
      <c r="O62" s="322">
        <f t="shared" si="29"/>
        <v>8623.4612180390614</v>
      </c>
      <c r="P62" s="322">
        <f t="shared" si="30"/>
        <v>8575.7736930798274</v>
      </c>
      <c r="Q62" s="322">
        <f t="shared" si="31"/>
        <v>7496.9639293020473</v>
      </c>
      <c r="R62" s="322">
        <f t="shared" si="32"/>
        <v>5730.5628481254134</v>
      </c>
      <c r="S62" s="324">
        <f t="shared" si="33"/>
        <v>7123.4256923911162</v>
      </c>
      <c r="T62" s="321">
        <f t="shared" si="34"/>
        <v>1506.4023764096055</v>
      </c>
      <c r="U62" s="322">
        <f t="shared" si="35"/>
        <v>1554.0899013688395</v>
      </c>
      <c r="V62" s="322">
        <f t="shared" si="36"/>
        <v>2632.8996651466196</v>
      </c>
      <c r="W62" s="322">
        <f t="shared" si="37"/>
        <v>4399.3007463232534</v>
      </c>
      <c r="X62" s="324">
        <f t="shared" si="38"/>
        <v>3006.4379020575507</v>
      </c>
      <c r="Y62" s="325">
        <f ca="1">IF(AND(Y$22=TRUE,INDEX(CDRANGE_CLS2,MATCH($A62,$A$24:$A$67,0),MATCH(Y$20,$B$20:$G$20,0))&lt;$D$6/OPDAYS_Cls2),86,payback(C62,T62,disc_rate/12,85))</f>
        <v>5</v>
      </c>
      <c r="Z62" s="326">
        <f ca="1">IF(AND(Z$22=TRUE,INDEX(CDRANGE_CLS2,MATCH($A62,$A$24:$A$67,0),MATCH(Z$20,$B$20:$G$20,0))&lt;$D$6/OPDAYS_Cls2),86,payback(D62,U62,disc_rate/12,85))</f>
        <v>5</v>
      </c>
      <c r="AA62" s="326">
        <f ca="1">IF(AND(AA$22=TRUE,INDEX(CDRANGE_CLS2,MATCH($A62,$A$24:$A$67,0),MATCH(AA$20,$B$20:$G$20,0))&lt;$D$6/OPDAYS_Cls2),86,payback(E62,V62,disc_rate/12,85))</f>
        <v>8</v>
      </c>
      <c r="AB62" s="326">
        <f>IF(AND(AB$22=TRUE,INDEX(CDRANGE_CLS2,MATCH($A62,$A$24:$A$67,0),MATCH(AB$20,$B$20:$G$20,0))&lt;$D$6/OPDAYS_Cls2),86,payback(F62,W62,disc_rate/12,85))</f>
        <v>86</v>
      </c>
      <c r="AC62" s="327">
        <f ca="1">IF(AND(AC$22=TRUE,INDEX(CDRANGE_CLS2,MATCH($A62,$A$24:$A$67,0),MATCH(AC$20,$B$20:$G$20,0))&lt;$D$6/OPDAYS_Cls2),86,payback(G62,X62,disc_rate/12,85))</f>
        <v>3</v>
      </c>
      <c r="AD62" s="328">
        <f t="shared" si="39"/>
        <v>0</v>
      </c>
      <c r="AE62" s="329">
        <f t="shared" si="40"/>
        <v>0</v>
      </c>
      <c r="AF62" s="329">
        <f t="shared" si="41"/>
        <v>0</v>
      </c>
      <c r="AG62" s="329">
        <f t="shared" si="42"/>
        <v>0</v>
      </c>
      <c r="AH62" s="330">
        <f t="shared" si="43"/>
        <v>0</v>
      </c>
      <c r="AI62" s="331">
        <f t="shared" si="44"/>
        <v>0.49999999962087194</v>
      </c>
      <c r="AJ62" s="332">
        <f t="shared" si="45"/>
        <v>0.49999999962087194</v>
      </c>
      <c r="AK62" s="332">
        <f t="shared" si="46"/>
        <v>0.49999999962087194</v>
      </c>
      <c r="AL62" s="332">
        <f t="shared" si="47"/>
        <v>0.49974809966286682</v>
      </c>
      <c r="AM62" s="333">
        <f t="shared" si="48"/>
        <v>7.7226768918627967E-2</v>
      </c>
      <c r="AN62" s="331">
        <f t="shared" si="60"/>
        <v>0.99374519890748736</v>
      </c>
      <c r="AO62" s="332">
        <f t="shared" si="60"/>
        <v>0.99329991717245192</v>
      </c>
      <c r="AP62" s="332">
        <f t="shared" si="60"/>
        <v>0.94654752855438162</v>
      </c>
      <c r="AQ62" s="332">
        <f t="shared" si="60"/>
        <v>0.91827818760903202</v>
      </c>
      <c r="AR62" s="699">
        <f t="shared" si="60"/>
        <v>0.99255853083388568</v>
      </c>
      <c r="AS62" s="935">
        <f t="shared" ca="1" si="50"/>
        <v>0.99999999924174388</v>
      </c>
      <c r="AT62" s="936">
        <f t="shared" ca="1" si="51"/>
        <v>0.99999999924174388</v>
      </c>
      <c r="AU62" s="936">
        <f t="shared" ca="1" si="52"/>
        <v>0.98864995926416654</v>
      </c>
      <c r="AV62" s="936">
        <f t="shared" si="53"/>
        <v>0</v>
      </c>
      <c r="AW62" s="937">
        <f t="shared" ca="1" si="54"/>
        <v>0.15445353783725593</v>
      </c>
      <c r="AX62" s="328">
        <f t="shared" ca="1" si="55"/>
        <v>0.993745198153974</v>
      </c>
      <c r="AY62" s="329">
        <f t="shared" ca="1" si="56"/>
        <v>0.99329991641927617</v>
      </c>
      <c r="AZ62" s="329">
        <f t="shared" ca="1" si="57"/>
        <v>0.93580417554688688</v>
      </c>
      <c r="BA62" s="329">
        <f t="shared" si="61"/>
        <v>0</v>
      </c>
      <c r="BB62" s="330">
        <f t="shared" ca="1" si="62"/>
        <v>0.15330417659784273</v>
      </c>
      <c r="BC62" s="328">
        <f t="shared" ca="1" si="63"/>
        <v>6.2548018460261146E-3</v>
      </c>
      <c r="BD62" s="329">
        <f t="shared" ca="1" si="64"/>
        <v>0.33515026225471672</v>
      </c>
      <c r="BE62" s="329">
        <f t="shared" ca="1" si="65"/>
        <v>0.3350000866458801</v>
      </c>
      <c r="BF62" s="329">
        <f t="shared" ca="1" si="66"/>
        <v>0.31560908715455499</v>
      </c>
      <c r="BG62" s="329">
        <f t="shared" ca="1" si="67"/>
        <v>0</v>
      </c>
      <c r="BH62" s="330">
        <f t="shared" ca="1" si="68"/>
        <v>7.985762098822017E-3</v>
      </c>
    </row>
    <row r="63" spans="1:60" x14ac:dyDescent="0.2">
      <c r="A63" s="336">
        <v>2046</v>
      </c>
      <c r="B63" s="931">
        <f t="shared" si="73"/>
        <v>141725.82999999999</v>
      </c>
      <c r="C63" s="932">
        <f t="shared" si="73"/>
        <v>6735.78</v>
      </c>
      <c r="D63" s="932">
        <f t="shared" si="73"/>
        <v>6972.2</v>
      </c>
      <c r="E63" s="932">
        <f t="shared" si="73"/>
        <v>19784.29</v>
      </c>
      <c r="F63" s="932">
        <f t="shared" si="73"/>
        <v>24250.080000000002</v>
      </c>
      <c r="G63" s="933">
        <f t="shared" si="73"/>
        <v>6816.45</v>
      </c>
      <c r="H63" s="1087">
        <f t="shared" si="74"/>
        <v>1</v>
      </c>
      <c r="I63" s="1088">
        <f t="shared" si="74"/>
        <v>1</v>
      </c>
      <c r="J63" s="1088">
        <f t="shared" si="74"/>
        <v>1</v>
      </c>
      <c r="K63" s="1088">
        <f t="shared" si="74"/>
        <v>0.8418174155945406</v>
      </c>
      <c r="L63" s="1088">
        <f t="shared" si="74"/>
        <v>1</v>
      </c>
      <c r="M63" s="1089">
        <f t="shared" si="74"/>
        <v>1</v>
      </c>
      <c r="N63" s="293">
        <f t="shared" si="28"/>
        <v>10082.32920362886</v>
      </c>
      <c r="O63" s="294">
        <f t="shared" si="29"/>
        <v>8582.995621248363</v>
      </c>
      <c r="P63" s="294">
        <f t="shared" si="30"/>
        <v>8535.5318700277912</v>
      </c>
      <c r="Q63" s="294">
        <f t="shared" si="31"/>
        <v>7342.0588394984952</v>
      </c>
      <c r="R63" s="294">
        <f t="shared" si="32"/>
        <v>5176.8274517193377</v>
      </c>
      <c r="S63" s="296">
        <f t="shared" si="33"/>
        <v>7057.2901177562508</v>
      </c>
      <c r="T63" s="293">
        <f t="shared" si="34"/>
        <v>1499.3335823804973</v>
      </c>
      <c r="U63" s="294">
        <f t="shared" si="35"/>
        <v>1546.7973336010691</v>
      </c>
      <c r="V63" s="294">
        <f t="shared" si="36"/>
        <v>2740.2703641303651</v>
      </c>
      <c r="W63" s="294">
        <f t="shared" si="37"/>
        <v>4905.5017519095227</v>
      </c>
      <c r="X63" s="296">
        <f t="shared" si="38"/>
        <v>3025.0390858726096</v>
      </c>
      <c r="Y63" s="297">
        <f ca="1">IF(AND(Y$22=TRUE,INDEX(CDRANGE_CLS2,MATCH($A63,$A$24:$A$67,0),MATCH(Y$20,$B$20:$G$20,0))&lt;$D$6/OPDAYS_Cls2),86,payback(C63,T63,disc_rate/12,85))</f>
        <v>5</v>
      </c>
      <c r="Z63" s="298">
        <f ca="1">IF(AND(Z$22=TRUE,INDEX(CDRANGE_CLS2,MATCH($A63,$A$24:$A$67,0),MATCH(Z$20,$B$20:$G$20,0))&lt;$D$6/OPDAYS_Cls2),86,payback(D63,U63,disc_rate/12,85))</f>
        <v>5</v>
      </c>
      <c r="AA63" s="298">
        <f ca="1">IF(AND(AA$22=TRUE,INDEX(CDRANGE_CLS2,MATCH($A63,$A$24:$A$67,0),MATCH(AA$20,$B$20:$G$20,0))&lt;$D$6/OPDAYS_Cls2),86,payback(E63,V63,disc_rate/12,85))</f>
        <v>8</v>
      </c>
      <c r="AB63" s="298">
        <f>IF(AND(AB$22=TRUE,INDEX(CDRANGE_CLS2,MATCH($A63,$A$24:$A$67,0),MATCH(AB$20,$B$20:$G$20,0))&lt;$D$6/OPDAYS_Cls2),86,payback(F63,W63,disc_rate/12,85))</f>
        <v>86</v>
      </c>
      <c r="AC63" s="299">
        <f ca="1">IF(AND(AC$22=TRUE,INDEX(CDRANGE_CLS2,MATCH($A63,$A$24:$A$67,0),MATCH(AC$20,$B$20:$G$20,0))&lt;$D$6/OPDAYS_Cls2),86,payback(G63,X63,disc_rate/12,85))</f>
        <v>3</v>
      </c>
      <c r="AD63" s="300">
        <f t="shared" si="39"/>
        <v>0</v>
      </c>
      <c r="AE63" s="301">
        <f t="shared" si="40"/>
        <v>0</v>
      </c>
      <c r="AF63" s="301">
        <f t="shared" si="41"/>
        <v>0</v>
      </c>
      <c r="AG63" s="301">
        <f t="shared" si="42"/>
        <v>0</v>
      </c>
      <c r="AH63" s="302">
        <f t="shared" si="43"/>
        <v>0</v>
      </c>
      <c r="AI63" s="303">
        <f t="shared" si="44"/>
        <v>0.49999999962087194</v>
      </c>
      <c r="AJ63" s="304">
        <f t="shared" si="45"/>
        <v>0.49999999962087194</v>
      </c>
      <c r="AK63" s="304">
        <f t="shared" si="46"/>
        <v>0.49999999962087194</v>
      </c>
      <c r="AL63" s="304">
        <f t="shared" si="47"/>
        <v>0.49988204931764657</v>
      </c>
      <c r="AM63" s="305">
        <f t="shared" si="48"/>
        <v>9.6250620132841011E-2</v>
      </c>
      <c r="AN63" s="303">
        <f t="shared" si="60"/>
        <v>0.99374519890748736</v>
      </c>
      <c r="AO63" s="304">
        <f t="shared" si="60"/>
        <v>0.99329991717245192</v>
      </c>
      <c r="AP63" s="304">
        <f t="shared" si="60"/>
        <v>0.94730866582577999</v>
      </c>
      <c r="AQ63" s="304">
        <f t="shared" si="60"/>
        <v>0.92189372327884223</v>
      </c>
      <c r="AR63" s="711">
        <f t="shared" si="60"/>
        <v>0.99359496619274956</v>
      </c>
      <c r="AS63" s="737">
        <f t="shared" ca="1" si="50"/>
        <v>0.99999999924174388</v>
      </c>
      <c r="AT63" s="738">
        <f t="shared" ca="1" si="51"/>
        <v>0.99999999924174388</v>
      </c>
      <c r="AU63" s="738">
        <f t="shared" ca="1" si="52"/>
        <v>0.98864995926416654</v>
      </c>
      <c r="AV63" s="738">
        <f t="shared" si="53"/>
        <v>0</v>
      </c>
      <c r="AW63" s="739">
        <f t="shared" ca="1" si="54"/>
        <v>0.19250124026568202</v>
      </c>
      <c r="AX63" s="300">
        <f t="shared" ca="1" si="55"/>
        <v>0.993745198153974</v>
      </c>
      <c r="AY63" s="301">
        <f t="shared" ca="1" si="56"/>
        <v>0.99329991641927617</v>
      </c>
      <c r="AZ63" s="301">
        <f t="shared" ca="1" si="57"/>
        <v>0.93655667387924935</v>
      </c>
      <c r="BA63" s="301">
        <f t="shared" si="61"/>
        <v>0</v>
      </c>
      <c r="BB63" s="302">
        <f t="shared" ca="1" si="62"/>
        <v>0.1912682633138427</v>
      </c>
      <c r="BC63" s="300">
        <f t="shared" ca="1" si="63"/>
        <v>6.2548018460260035E-3</v>
      </c>
      <c r="BD63" s="301">
        <f t="shared" ca="1" si="64"/>
        <v>0.33357737407941057</v>
      </c>
      <c r="BE63" s="301">
        <f t="shared" ca="1" si="65"/>
        <v>0.33342790325725014</v>
      </c>
      <c r="BF63" s="301">
        <f t="shared" ca="1" si="66"/>
        <v>0.31438050370410997</v>
      </c>
      <c r="BG63" s="301">
        <f t="shared" ca="1" si="67"/>
        <v>0</v>
      </c>
      <c r="BH63" s="302">
        <f t="shared" ca="1" si="68"/>
        <v>1.2359417113203304E-2</v>
      </c>
    </row>
    <row r="64" spans="1:60" x14ac:dyDescent="0.2">
      <c r="A64" s="335">
        <v>2047</v>
      </c>
      <c r="B64" s="925">
        <f t="shared" si="73"/>
        <v>141725.82999999999</v>
      </c>
      <c r="C64" s="926">
        <f t="shared" si="73"/>
        <v>6735.78</v>
      </c>
      <c r="D64" s="926">
        <f t="shared" si="73"/>
        <v>6972.2</v>
      </c>
      <c r="E64" s="926">
        <f t="shared" si="73"/>
        <v>19637.93</v>
      </c>
      <c r="F64" s="926">
        <f t="shared" si="73"/>
        <v>23671.11</v>
      </c>
      <c r="G64" s="927">
        <f t="shared" si="73"/>
        <v>6283.71</v>
      </c>
      <c r="H64" s="1090">
        <f t="shared" si="74"/>
        <v>1</v>
      </c>
      <c r="I64" s="1091">
        <f t="shared" si="74"/>
        <v>1</v>
      </c>
      <c r="J64" s="1091">
        <f t="shared" si="74"/>
        <v>1</v>
      </c>
      <c r="K64" s="1091">
        <f t="shared" si="74"/>
        <v>0.84171488498297242</v>
      </c>
      <c r="L64" s="1091">
        <f t="shared" si="74"/>
        <v>1</v>
      </c>
      <c r="M64" s="1092">
        <f t="shared" si="74"/>
        <v>1</v>
      </c>
      <c r="N64" s="307">
        <f t="shared" si="28"/>
        <v>10031.506664546523</v>
      </c>
      <c r="O64" s="308">
        <f t="shared" si="29"/>
        <v>8539.730853594534</v>
      </c>
      <c r="P64" s="308">
        <f t="shared" si="30"/>
        <v>8492.5063554575172</v>
      </c>
      <c r="Q64" s="308">
        <f t="shared" si="31"/>
        <v>7217.0238823953632</v>
      </c>
      <c r="R64" s="308">
        <f t="shared" si="32"/>
        <v>4835.342434390891</v>
      </c>
      <c r="S64" s="310">
        <f t="shared" si="33"/>
        <v>6992.3689207551679</v>
      </c>
      <c r="T64" s="307">
        <f t="shared" si="34"/>
        <v>1491.7758109519891</v>
      </c>
      <c r="U64" s="308">
        <f t="shared" si="35"/>
        <v>1539.0003090890059</v>
      </c>
      <c r="V64" s="308">
        <f t="shared" si="36"/>
        <v>2814.4827821511599</v>
      </c>
      <c r="W64" s="308">
        <f t="shared" si="37"/>
        <v>5196.1642301556321</v>
      </c>
      <c r="X64" s="310">
        <f t="shared" si="38"/>
        <v>3039.1377437913552</v>
      </c>
      <c r="Y64" s="311">
        <f ca="1">IF(AND(Y$22=TRUE,INDEX(CDRANGE_CLS2,MATCH($A64,$A$24:$A$67,0),MATCH(Y$20,$B$20:$G$20,0))&lt;$D$6/OPDAYS_Cls2),86,payback(C64,T64,disc_rate/12,85))</f>
        <v>5</v>
      </c>
      <c r="Z64" s="312">
        <f ca="1">IF(AND(Z$22=TRUE,INDEX(CDRANGE_CLS2,MATCH($A64,$A$24:$A$67,0),MATCH(Z$20,$B$20:$G$20,0))&lt;$D$6/OPDAYS_Cls2),86,payback(D64,U64,disc_rate/12,85))</f>
        <v>5</v>
      </c>
      <c r="AA64" s="312">
        <f ca="1">IF(AND(AA$22=TRUE,INDEX(CDRANGE_CLS2,MATCH($A64,$A$24:$A$67,0),MATCH(AA$20,$B$20:$G$20,0))&lt;$D$6/OPDAYS_Cls2),86,payback(E64,V64,disc_rate/12,85))</f>
        <v>8</v>
      </c>
      <c r="AB64" s="312">
        <f>IF(AND(AB$22=TRUE,INDEX(CDRANGE_CLS2,MATCH($A64,$A$24:$A$67,0),MATCH(AB$20,$B$20:$G$20,0))&lt;$D$6/OPDAYS_Cls2),86,payback(F64,W64,disc_rate/12,85))</f>
        <v>86</v>
      </c>
      <c r="AC64" s="313">
        <f ca="1">IF(AND(AC$22=TRUE,INDEX(CDRANGE_CLS2,MATCH($A64,$A$24:$A$67,0),MATCH(AC$20,$B$20:$G$20,0))&lt;$D$6/OPDAYS_Cls2),86,payback(G64,X64,disc_rate/12,85))</f>
        <v>3</v>
      </c>
      <c r="AD64" s="314">
        <f t="shared" si="39"/>
        <v>0</v>
      </c>
      <c r="AE64" s="315">
        <f t="shared" si="40"/>
        <v>0</v>
      </c>
      <c r="AF64" s="315">
        <f t="shared" si="41"/>
        <v>0</v>
      </c>
      <c r="AG64" s="315">
        <f t="shared" si="42"/>
        <v>0</v>
      </c>
      <c r="AH64" s="316">
        <f t="shared" si="43"/>
        <v>0</v>
      </c>
      <c r="AI64" s="317">
        <f t="shared" si="44"/>
        <v>0.49999999962087194</v>
      </c>
      <c r="AJ64" s="318">
        <f t="shared" si="45"/>
        <v>0.49999999962087194</v>
      </c>
      <c r="AK64" s="318">
        <f t="shared" si="46"/>
        <v>0.49999999962087194</v>
      </c>
      <c r="AL64" s="318">
        <f t="shared" si="47"/>
        <v>0.49996596978666119</v>
      </c>
      <c r="AM64" s="319">
        <f t="shared" si="48"/>
        <v>0.11782847022157542</v>
      </c>
      <c r="AN64" s="317">
        <f t="shared" si="60"/>
        <v>0.99374519890748736</v>
      </c>
      <c r="AO64" s="318">
        <f t="shared" si="60"/>
        <v>0.99329991717245192</v>
      </c>
      <c r="AP64" s="318">
        <f t="shared" si="60"/>
        <v>0.94806485028629373</v>
      </c>
      <c r="AQ64" s="318">
        <f t="shared" si="60"/>
        <v>0.92543775367364733</v>
      </c>
      <c r="AR64" s="698">
        <f t="shared" si="60"/>
        <v>0.99455438972168786</v>
      </c>
      <c r="AS64" s="300">
        <f t="shared" ca="1" si="50"/>
        <v>0.99999999924174388</v>
      </c>
      <c r="AT64" s="301">
        <f t="shared" ca="1" si="51"/>
        <v>0.99999999924174388</v>
      </c>
      <c r="AU64" s="301">
        <f t="shared" ca="1" si="52"/>
        <v>0.98864995926416654</v>
      </c>
      <c r="AV64" s="301">
        <f t="shared" si="53"/>
        <v>0</v>
      </c>
      <c r="AW64" s="302">
        <f t="shared" ca="1" si="54"/>
        <v>0.23565694044315083</v>
      </c>
      <c r="AX64" s="314">
        <f t="shared" ca="1" si="55"/>
        <v>0.993745198153974</v>
      </c>
      <c r="AY64" s="315">
        <f t="shared" ca="1" si="56"/>
        <v>0.99329991641927617</v>
      </c>
      <c r="AZ64" s="315">
        <f t="shared" ca="1" si="57"/>
        <v>0.93730427561533247</v>
      </c>
      <c r="BA64" s="301">
        <f t="shared" si="61"/>
        <v>0</v>
      </c>
      <c r="BB64" s="302">
        <f t="shared" ca="1" si="62"/>
        <v>0.23437364458611801</v>
      </c>
      <c r="BC64" s="300">
        <f t="shared" ca="1" si="63"/>
        <v>6.2548018460260035E-3</v>
      </c>
      <c r="BD64" s="301">
        <f t="shared" ca="1" si="64"/>
        <v>0.33143232681330498</v>
      </c>
      <c r="BE64" s="301">
        <f t="shared" ca="1" si="65"/>
        <v>0.33128381715339161</v>
      </c>
      <c r="BF64" s="301">
        <f t="shared" ca="1" si="66"/>
        <v>0.31260823959334028</v>
      </c>
      <c r="BG64" s="301">
        <f t="shared" ca="1" si="67"/>
        <v>0</v>
      </c>
      <c r="BH64" s="302">
        <f t="shared" ca="1" si="68"/>
        <v>1.8420814593937063E-2</v>
      </c>
    </row>
    <row r="65" spans="1:60" x14ac:dyDescent="0.2">
      <c r="A65" s="335">
        <v>2048</v>
      </c>
      <c r="B65" s="925">
        <f t="shared" si="73"/>
        <v>141725.82999999999</v>
      </c>
      <c r="C65" s="926">
        <f t="shared" si="73"/>
        <v>6735.78</v>
      </c>
      <c r="D65" s="926">
        <f t="shared" si="73"/>
        <v>6972.2</v>
      </c>
      <c r="E65" s="926">
        <f t="shared" si="73"/>
        <v>19491.580000000002</v>
      </c>
      <c r="F65" s="926">
        <f t="shared" si="73"/>
        <v>23092.14</v>
      </c>
      <c r="G65" s="927">
        <f t="shared" si="73"/>
        <v>5750.97</v>
      </c>
      <c r="H65" s="1090">
        <f t="shared" si="74"/>
        <v>1</v>
      </c>
      <c r="I65" s="1091">
        <f t="shared" si="74"/>
        <v>1</v>
      </c>
      <c r="J65" s="1091">
        <f t="shared" si="74"/>
        <v>1</v>
      </c>
      <c r="K65" s="1091">
        <f t="shared" si="74"/>
        <v>0.84161235437140414</v>
      </c>
      <c r="L65" s="1091">
        <f t="shared" si="74"/>
        <v>1</v>
      </c>
      <c r="M65" s="1092">
        <f t="shared" si="74"/>
        <v>1</v>
      </c>
      <c r="N65" s="307">
        <f t="shared" si="28"/>
        <v>10040.158982131539</v>
      </c>
      <c r="O65" s="308">
        <f t="shared" si="29"/>
        <v>8547.0964932642946</v>
      </c>
      <c r="P65" s="308">
        <f t="shared" si="30"/>
        <v>8499.8312633240384</v>
      </c>
      <c r="Q65" s="308">
        <f t="shared" si="31"/>
        <v>7156.0886993308322</v>
      </c>
      <c r="R65" s="308">
        <f t="shared" si="32"/>
        <v>4663.234136693588</v>
      </c>
      <c r="S65" s="310">
        <f t="shared" si="33"/>
        <v>6928.6289583037151</v>
      </c>
      <c r="T65" s="307">
        <f t="shared" si="34"/>
        <v>1493.0624888672446</v>
      </c>
      <c r="U65" s="308">
        <f t="shared" si="35"/>
        <v>1540.3277188075008</v>
      </c>
      <c r="V65" s="308">
        <f t="shared" si="36"/>
        <v>2884.070282800707</v>
      </c>
      <c r="W65" s="308">
        <f t="shared" si="37"/>
        <v>5376.9248454379513</v>
      </c>
      <c r="X65" s="310">
        <f t="shared" si="38"/>
        <v>3111.5300238278242</v>
      </c>
      <c r="Y65" s="311">
        <f ca="1">IF(AND(Y$22=TRUE,INDEX(CDRANGE_CLS2,MATCH($A65,$A$24:$A$67,0),MATCH(Y$20,$B$20:$G$20,0))&lt;$D$6/OPDAYS_Cls2),86,payback(C65,T65,disc_rate/12,85))</f>
        <v>5</v>
      </c>
      <c r="Z65" s="312">
        <f ca="1">IF(AND(Z$22=TRUE,INDEX(CDRANGE_CLS2,MATCH($A65,$A$24:$A$67,0),MATCH(Z$20,$B$20:$G$20,0))&lt;$D$6/OPDAYS_Cls2),86,payback(D65,U65,disc_rate/12,85))</f>
        <v>5</v>
      </c>
      <c r="AA65" s="312">
        <f ca="1">IF(AND(AA$22=TRUE,INDEX(CDRANGE_CLS2,MATCH($A65,$A$24:$A$67,0),MATCH(AA$20,$B$20:$G$20,0))&lt;$D$6/OPDAYS_Cls2),86,payback(E65,V65,disc_rate/12,85))</f>
        <v>7</v>
      </c>
      <c r="AB65" s="312">
        <f>IF(AND(AB$22=TRUE,INDEX(CDRANGE_CLS2,MATCH($A65,$A$24:$A$67,0),MATCH(AB$20,$B$20:$G$20,0))&lt;$D$6/OPDAYS_Cls2),86,payback(F65,W65,disc_rate/12,85))</f>
        <v>86</v>
      </c>
      <c r="AC65" s="313">
        <f ca="1">IF(AND(AC$22=TRUE,INDEX(CDRANGE_CLS2,MATCH($A65,$A$24:$A$67,0),MATCH(AC$20,$B$20:$G$20,0))&lt;$D$6/OPDAYS_Cls2),86,payback(G65,X65,disc_rate/12,85))</f>
        <v>2</v>
      </c>
      <c r="AD65" s="314">
        <f t="shared" si="39"/>
        <v>0</v>
      </c>
      <c r="AE65" s="315">
        <f t="shared" si="40"/>
        <v>0</v>
      </c>
      <c r="AF65" s="315">
        <f t="shared" si="41"/>
        <v>0</v>
      </c>
      <c r="AG65" s="315">
        <f t="shared" si="42"/>
        <v>0</v>
      </c>
      <c r="AH65" s="316">
        <f t="shared" si="43"/>
        <v>0</v>
      </c>
      <c r="AI65" s="317">
        <f t="shared" si="44"/>
        <v>0.49999999962087194</v>
      </c>
      <c r="AJ65" s="318">
        <f t="shared" si="45"/>
        <v>0.49999999962087194</v>
      </c>
      <c r="AK65" s="318">
        <f t="shared" si="46"/>
        <v>0.49999999962087194</v>
      </c>
      <c r="AL65" s="318">
        <f t="shared" si="47"/>
        <v>0.49998619831278412</v>
      </c>
      <c r="AM65" s="319">
        <f t="shared" si="48"/>
        <v>0.12954116250433836</v>
      </c>
      <c r="AN65" s="317">
        <f t="shared" si="60"/>
        <v>0.99374519890748736</v>
      </c>
      <c r="AO65" s="318">
        <f t="shared" si="60"/>
        <v>0.99329991717245192</v>
      </c>
      <c r="AP65" s="318">
        <f t="shared" si="60"/>
        <v>0.94881596564646686</v>
      </c>
      <c r="AQ65" s="318">
        <f t="shared" si="60"/>
        <v>0.9289092822128403</v>
      </c>
      <c r="AR65" s="698">
        <f t="shared" si="60"/>
        <v>0.99543659655948713</v>
      </c>
      <c r="AS65" s="300">
        <f t="shared" ca="1" si="50"/>
        <v>0.99999999924174388</v>
      </c>
      <c r="AT65" s="301">
        <f t="shared" ca="1" si="51"/>
        <v>0.99999999924174388</v>
      </c>
      <c r="AU65" s="301">
        <f t="shared" ca="1" si="52"/>
        <v>0.99672728465125515</v>
      </c>
      <c r="AV65" s="301">
        <f t="shared" si="53"/>
        <v>0</v>
      </c>
      <c r="AW65" s="302">
        <f t="shared" ca="1" si="54"/>
        <v>0.25908232500867673</v>
      </c>
      <c r="AX65" s="314">
        <f t="shared" ca="1" si="55"/>
        <v>0.993745198153974</v>
      </c>
      <c r="AY65" s="315">
        <f t="shared" ca="1" si="56"/>
        <v>0.99329991641927617</v>
      </c>
      <c r="AZ65" s="315">
        <f t="shared" ca="1" si="57"/>
        <v>0.94571076107256147</v>
      </c>
      <c r="BA65" s="301">
        <f t="shared" si="61"/>
        <v>0</v>
      </c>
      <c r="BB65" s="302">
        <f t="shared" ca="1" si="62"/>
        <v>0.25790002783535604</v>
      </c>
      <c r="BC65" s="300">
        <f t="shared" ca="1" si="63"/>
        <v>6.2548018460260035E-3</v>
      </c>
      <c r="BD65" s="301">
        <f t="shared" ca="1" si="64"/>
        <v>0.32922334219787319</v>
      </c>
      <c r="BE65" s="301">
        <f t="shared" ca="1" si="65"/>
        <v>0.32907582234953658</v>
      </c>
      <c r="BF65" s="301">
        <f t="shared" ca="1" si="66"/>
        <v>0.3133097479023606</v>
      </c>
      <c r="BG65" s="301">
        <f t="shared" ca="1" si="67"/>
        <v>0</v>
      </c>
      <c r="BH65" s="302">
        <f t="shared" ca="1" si="68"/>
        <v>2.2136285704203593E-2</v>
      </c>
    </row>
    <row r="66" spans="1:60" x14ac:dyDescent="0.2">
      <c r="A66" s="335">
        <v>2049</v>
      </c>
      <c r="B66" s="925">
        <f t="shared" si="73"/>
        <v>141725.82999999999</v>
      </c>
      <c r="C66" s="926">
        <f t="shared" si="73"/>
        <v>6735.78</v>
      </c>
      <c r="D66" s="926">
        <f t="shared" si="73"/>
        <v>6972.2</v>
      </c>
      <c r="E66" s="926">
        <f t="shared" si="73"/>
        <v>19345.22</v>
      </c>
      <c r="F66" s="926">
        <f t="shared" si="73"/>
        <v>22513.17</v>
      </c>
      <c r="G66" s="927">
        <f t="shared" si="73"/>
        <v>5218.22</v>
      </c>
      <c r="H66" s="1090">
        <f t="shared" si="74"/>
        <v>1</v>
      </c>
      <c r="I66" s="1091">
        <f t="shared" si="74"/>
        <v>1</v>
      </c>
      <c r="J66" s="1091">
        <f t="shared" si="74"/>
        <v>1</v>
      </c>
      <c r="K66" s="1091">
        <f t="shared" si="74"/>
        <v>0.84150982375983585</v>
      </c>
      <c r="L66" s="1091">
        <f t="shared" si="74"/>
        <v>1</v>
      </c>
      <c r="M66" s="1092">
        <f t="shared" si="74"/>
        <v>1</v>
      </c>
      <c r="N66" s="307">
        <f t="shared" si="28"/>
        <v>10018.91307127676</v>
      </c>
      <c r="O66" s="308">
        <f t="shared" si="29"/>
        <v>8529.0100415969209</v>
      </c>
      <c r="P66" s="308">
        <f t="shared" si="30"/>
        <v>8481.8448292822432</v>
      </c>
      <c r="Q66" s="308">
        <f t="shared" si="31"/>
        <v>7089.7438054579297</v>
      </c>
      <c r="R66" s="308">
        <f t="shared" si="32"/>
        <v>4581.819015492877</v>
      </c>
      <c r="S66" s="310">
        <f t="shared" si="33"/>
        <v>6866.0382825098559</v>
      </c>
      <c r="T66" s="307">
        <f t="shared" si="34"/>
        <v>1489.9030296798392</v>
      </c>
      <c r="U66" s="308">
        <f t="shared" si="35"/>
        <v>1537.0682419945169</v>
      </c>
      <c r="V66" s="308">
        <f t="shared" si="36"/>
        <v>2929.1692658188304</v>
      </c>
      <c r="W66" s="308">
        <f t="shared" si="37"/>
        <v>5437.0940557838831</v>
      </c>
      <c r="X66" s="310">
        <f t="shared" si="38"/>
        <v>3152.8747887669042</v>
      </c>
      <c r="Y66" s="311">
        <f ca="1">IF(AND(Y$22=TRUE,INDEX(CDRANGE_CLS2,MATCH($A66,$A$24:$A$67,0),MATCH(Y$20,$B$20:$G$20,0))&lt;$D$6/OPDAYS_Cls2),86,payback(C66,T66,disc_rate/12,85))</f>
        <v>5</v>
      </c>
      <c r="Z66" s="312">
        <f ca="1">IF(AND(Z$22=TRUE,INDEX(CDRANGE_CLS2,MATCH($A66,$A$24:$A$67,0),MATCH(Z$20,$B$20:$G$20,0))&lt;$D$6/OPDAYS_Cls2),86,payback(D66,U66,disc_rate/12,85))</f>
        <v>5</v>
      </c>
      <c r="AA66" s="312">
        <f ca="1">IF(AND(AA$22=TRUE,INDEX(CDRANGE_CLS2,MATCH($A66,$A$24:$A$67,0),MATCH(AA$20,$B$20:$G$20,0))&lt;$D$6/OPDAYS_Cls2),86,payback(E66,V66,disc_rate/12,85))</f>
        <v>7</v>
      </c>
      <c r="AB66" s="312">
        <f>IF(AND(AB$22=TRUE,INDEX(CDRANGE_CLS2,MATCH($A66,$A$24:$A$67,0),MATCH(AB$20,$B$20:$G$20,0))&lt;$D$6/OPDAYS_Cls2),86,payback(F66,W66,disc_rate/12,85))</f>
        <v>86</v>
      </c>
      <c r="AC66" s="313">
        <f ca="1">IF(AND(AC$22=TRUE,INDEX(CDRANGE_CLS2,MATCH($A66,$A$24:$A$67,0),MATCH(AC$20,$B$20:$G$20,0))&lt;$D$6/OPDAYS_Cls2),86,payback(G66,X66,disc_rate/12,85))</f>
        <v>2</v>
      </c>
      <c r="AD66" s="314">
        <f t="shared" si="39"/>
        <v>0</v>
      </c>
      <c r="AE66" s="315">
        <f t="shared" si="40"/>
        <v>0</v>
      </c>
      <c r="AF66" s="315">
        <f t="shared" si="41"/>
        <v>0</v>
      </c>
      <c r="AG66" s="315">
        <f t="shared" si="42"/>
        <v>0</v>
      </c>
      <c r="AH66" s="316">
        <f t="shared" si="43"/>
        <v>0</v>
      </c>
      <c r="AI66" s="317">
        <f t="shared" si="44"/>
        <v>0.49999999962087194</v>
      </c>
      <c r="AJ66" s="318">
        <f t="shared" si="45"/>
        <v>0.49999999962087194</v>
      </c>
      <c r="AK66" s="318">
        <f t="shared" si="46"/>
        <v>0.49999999962087194</v>
      </c>
      <c r="AL66" s="318">
        <f t="shared" si="47"/>
        <v>0.49999473991021715</v>
      </c>
      <c r="AM66" s="319">
        <f t="shared" si="48"/>
        <v>0.15468482913019341</v>
      </c>
      <c r="AN66" s="317">
        <f t="shared" si="60"/>
        <v>0.99374519890748736</v>
      </c>
      <c r="AO66" s="318">
        <f t="shared" si="60"/>
        <v>0.99329991717245192</v>
      </c>
      <c r="AP66" s="318">
        <f t="shared" si="60"/>
        <v>0.9495621016731417</v>
      </c>
      <c r="AQ66" s="318">
        <f t="shared" si="60"/>
        <v>0.9323073920348468</v>
      </c>
      <c r="AR66" s="698">
        <f t="shared" si="60"/>
        <v>0.99624139403125789</v>
      </c>
      <c r="AS66" s="300">
        <f t="shared" ca="1" si="50"/>
        <v>0.99999999924174388</v>
      </c>
      <c r="AT66" s="301">
        <f t="shared" ca="1" si="51"/>
        <v>0.99999999924174388</v>
      </c>
      <c r="AU66" s="301">
        <f t="shared" ca="1" si="52"/>
        <v>0.99672728465125515</v>
      </c>
      <c r="AV66" s="301">
        <f t="shared" si="53"/>
        <v>0</v>
      </c>
      <c r="AW66" s="302">
        <f t="shared" ca="1" si="54"/>
        <v>0.30936965826038682</v>
      </c>
      <c r="AX66" s="314">
        <f t="shared" ca="1" si="55"/>
        <v>0.993745198153974</v>
      </c>
      <c r="AY66" s="315">
        <f t="shared" ca="1" si="56"/>
        <v>0.99329991641927617</v>
      </c>
      <c r="AZ66" s="315">
        <f t="shared" ca="1" si="57"/>
        <v>0.94645445520840954</v>
      </c>
      <c r="BA66" s="301">
        <f t="shared" si="61"/>
        <v>0</v>
      </c>
      <c r="BB66" s="302">
        <f t="shared" ca="1" si="62"/>
        <v>0.30820685961630162</v>
      </c>
      <c r="BC66" s="300">
        <f t="shared" ca="1" si="63"/>
        <v>6.2548018460261146E-3</v>
      </c>
      <c r="BD66" s="301">
        <f t="shared" ca="1" si="64"/>
        <v>0.32604114027897207</v>
      </c>
      <c r="BE66" s="301">
        <f t="shared" ca="1" si="65"/>
        <v>0.32589504632571731</v>
      </c>
      <c r="BF66" s="301">
        <f t="shared" ca="1" si="66"/>
        <v>0.31052536442088075</v>
      </c>
      <c r="BG66" s="301">
        <f t="shared" ca="1" si="67"/>
        <v>0</v>
      </c>
      <c r="BH66" s="302">
        <f t="shared" ca="1" si="68"/>
        <v>3.1283647128403765E-2</v>
      </c>
    </row>
    <row r="67" spans="1:60" ht="13.5" thickBot="1" x14ac:dyDescent="0.25">
      <c r="A67" s="320">
        <v>2050</v>
      </c>
      <c r="B67" s="928">
        <f t="shared" si="73"/>
        <v>141725.82999999999</v>
      </c>
      <c r="C67" s="929">
        <f t="shared" si="73"/>
        <v>6735.78</v>
      </c>
      <c r="D67" s="929">
        <f t="shared" si="73"/>
        <v>6972.2</v>
      </c>
      <c r="E67" s="929">
        <f t="shared" si="73"/>
        <v>19198.87</v>
      </c>
      <c r="F67" s="929">
        <f t="shared" si="73"/>
        <v>21934.21</v>
      </c>
      <c r="G67" s="930">
        <f t="shared" si="73"/>
        <v>4685.4799999999996</v>
      </c>
      <c r="H67" s="1084">
        <f t="shared" si="74"/>
        <v>1</v>
      </c>
      <c r="I67" s="1085">
        <f t="shared" si="74"/>
        <v>1</v>
      </c>
      <c r="J67" s="1085">
        <f t="shared" si="74"/>
        <v>1</v>
      </c>
      <c r="K67" s="1085">
        <f t="shared" si="74"/>
        <v>0.84140729314826768</v>
      </c>
      <c r="L67" s="1085">
        <f t="shared" si="74"/>
        <v>1</v>
      </c>
      <c r="M67" s="1086">
        <f t="shared" si="74"/>
        <v>1</v>
      </c>
      <c r="N67" s="321">
        <f t="shared" si="28"/>
        <v>10015.178973370206</v>
      </c>
      <c r="O67" s="322">
        <f t="shared" si="29"/>
        <v>8525.8312378369992</v>
      </c>
      <c r="P67" s="322">
        <f t="shared" si="30"/>
        <v>8478.6836042276464</v>
      </c>
      <c r="Q67" s="322">
        <f t="shared" si="31"/>
        <v>7039.0764195775746</v>
      </c>
      <c r="R67" s="322">
        <f t="shared" si="32"/>
        <v>4526.694082597307</v>
      </c>
      <c r="S67" s="324">
        <f t="shared" si="33"/>
        <v>6804.566087279386</v>
      </c>
      <c r="T67" s="321">
        <f t="shared" si="34"/>
        <v>1489.347735533207</v>
      </c>
      <c r="U67" s="322">
        <f t="shared" si="35"/>
        <v>1536.4953691425599</v>
      </c>
      <c r="V67" s="322">
        <f t="shared" si="36"/>
        <v>2976.1025537926316</v>
      </c>
      <c r="W67" s="322">
        <f t="shared" si="37"/>
        <v>5488.4848907728992</v>
      </c>
      <c r="X67" s="324">
        <f t="shared" si="38"/>
        <v>3210.6128860908202</v>
      </c>
      <c r="Y67" s="325">
        <f ca="1">IF(AND(Y$22=TRUE,INDEX(CDRANGE_CLS2,MATCH($A67,$A$24:$A$67,0),MATCH(Y$20,$B$20:$G$20,0))&lt;$D$6/OPDAYS_Cls2),86,payback(C67,T67,disc_rate/12,85))</f>
        <v>5</v>
      </c>
      <c r="Z67" s="326">
        <f ca="1">IF(AND(Z$22=TRUE,INDEX(CDRANGE_CLS2,MATCH($A67,$A$24:$A$67,0),MATCH(Z$20,$B$20:$G$20,0))&lt;$D$6/OPDAYS_Cls2),86,payback(D67,U67,disc_rate/12,85))</f>
        <v>5</v>
      </c>
      <c r="AA67" s="326">
        <f ca="1">IF(AND(AA$22=TRUE,INDEX(CDRANGE_CLS2,MATCH($A67,$A$24:$A$67,0),MATCH(AA$20,$B$20:$G$20,0))&lt;$D$6/OPDAYS_Cls2),86,payback(E67,V67,disc_rate/12,85))</f>
        <v>7</v>
      </c>
      <c r="AB67" s="326">
        <f>IF(AND(AB$22=TRUE,INDEX(CDRANGE_CLS2,MATCH($A67,$A$24:$A$67,0),MATCH(AB$20,$B$20:$G$20,0))&lt;$D$6/OPDAYS_Cls2),86,payback(F67,W67,disc_rate/12,85))</f>
        <v>86</v>
      </c>
      <c r="AC67" s="327">
        <f ca="1">IF(AND(AC$22=TRUE,INDEX(CDRANGE_CLS2,MATCH($A67,$A$24:$A$67,0),MATCH(AC$20,$B$20:$G$20,0))&lt;$D$6/OPDAYS_Cls2),86,payback(G67,X67,disc_rate/12,85))</f>
        <v>2</v>
      </c>
      <c r="AD67" s="328">
        <f t="shared" si="39"/>
        <v>0</v>
      </c>
      <c r="AE67" s="329">
        <f t="shared" si="40"/>
        <v>0</v>
      </c>
      <c r="AF67" s="329">
        <f t="shared" si="41"/>
        <v>0</v>
      </c>
      <c r="AG67" s="329">
        <f t="shared" si="42"/>
        <v>0</v>
      </c>
      <c r="AH67" s="330">
        <f t="shared" si="43"/>
        <v>1.0605082788761246E-2</v>
      </c>
      <c r="AI67" s="331">
        <f t="shared" si="44"/>
        <v>0.49999999962087194</v>
      </c>
      <c r="AJ67" s="332">
        <f t="shared" si="45"/>
        <v>0.49999999962087194</v>
      </c>
      <c r="AK67" s="332">
        <f t="shared" si="46"/>
        <v>0.49999999962087194</v>
      </c>
      <c r="AL67" s="332">
        <f t="shared" si="47"/>
        <v>0.49999890515837031</v>
      </c>
      <c r="AM67" s="333">
        <f t="shared" si="48"/>
        <v>0.16804211820484452</v>
      </c>
      <c r="AN67" s="331">
        <f t="shared" si="60"/>
        <v>0.99374519890748736</v>
      </c>
      <c r="AO67" s="332">
        <f t="shared" si="60"/>
        <v>0.99329991717245192</v>
      </c>
      <c r="AP67" s="332">
        <f t="shared" si="60"/>
        <v>0.95030314360815338</v>
      </c>
      <c r="AQ67" s="332">
        <f t="shared" si="60"/>
        <v>0.93563112657703895</v>
      </c>
      <c r="AR67" s="699">
        <f t="shared" si="60"/>
        <v>0.99696856293202085</v>
      </c>
      <c r="AS67" s="337">
        <f t="shared" ca="1" si="50"/>
        <v>0.99999999924174388</v>
      </c>
      <c r="AT67" s="338">
        <f t="shared" ca="1" si="51"/>
        <v>0.99999999924174388</v>
      </c>
      <c r="AU67" s="338">
        <f t="shared" ca="1" si="52"/>
        <v>0.99672728465125515</v>
      </c>
      <c r="AV67" s="338">
        <f t="shared" si="53"/>
        <v>0</v>
      </c>
      <c r="AW67" s="339">
        <f t="shared" ca="1" si="54"/>
        <v>0.33608423640968904</v>
      </c>
      <c r="AX67" s="328">
        <f t="shared" ca="1" si="55"/>
        <v>0.993745198153974</v>
      </c>
      <c r="AY67" s="329">
        <f t="shared" ca="1" si="56"/>
        <v>0.99329991641927617</v>
      </c>
      <c r="AZ67" s="329">
        <f t="shared" ca="1" si="57"/>
        <v>0.94719307192410651</v>
      </c>
      <c r="BA67" s="338">
        <f t="shared" si="61"/>
        <v>0</v>
      </c>
      <c r="BB67" s="339">
        <f t="shared" ca="1" si="62"/>
        <v>0.33506541819747326</v>
      </c>
      <c r="BC67" s="337">
        <f t="shared" ca="1" si="63"/>
        <v>6.2548018460262256E-3</v>
      </c>
      <c r="BD67" s="338">
        <f t="shared" ca="1" si="64"/>
        <v>0.32411508282139179</v>
      </c>
      <c r="BE67" s="338">
        <f t="shared" ca="1" si="65"/>
        <v>0.32396985190446403</v>
      </c>
      <c r="BF67" s="338">
        <f t="shared" ca="1" si="66"/>
        <v>0.30893186857639821</v>
      </c>
      <c r="BG67" s="338">
        <f t="shared" ca="1" si="67"/>
        <v>0</v>
      </c>
      <c r="BH67" s="339">
        <f t="shared" ca="1" si="68"/>
        <v>3.6728394851719783E-2</v>
      </c>
    </row>
    <row r="68" spans="1:60" x14ac:dyDescent="0.2">
      <c r="A68" s="245" t="str">
        <f>"Output generated: "&amp; TEXT(MAX($L$4,$L$5),"m/dd/yyyy hh:mm")</f>
        <v>Output generated: 2/21/2020 18:23</v>
      </c>
      <c r="E68" s="252"/>
      <c r="F68" s="252"/>
      <c r="G68" s="252"/>
      <c r="H68" s="340"/>
      <c r="I68" s="252"/>
      <c r="J68" s="252"/>
      <c r="K68" s="341"/>
      <c r="L68" s="341"/>
      <c r="M68" s="341"/>
      <c r="W68" s="245"/>
      <c r="X68" s="245"/>
      <c r="Y68" s="245"/>
    </row>
    <row r="69" spans="1:60" ht="13.5" thickBot="1" x14ac:dyDescent="0.25"/>
    <row r="70" spans="1:60" s="29" customFormat="1" ht="15" x14ac:dyDescent="0.25">
      <c r="A70" s="351"/>
      <c r="B70" s="1561" t="s">
        <v>260</v>
      </c>
      <c r="C70" s="1562"/>
      <c r="D70" s="1562"/>
      <c r="E70" s="1562"/>
      <c r="F70" s="1562"/>
      <c r="G70" s="1562"/>
      <c r="H70" s="1562"/>
      <c r="I70" s="1562"/>
      <c r="J70" s="1562"/>
      <c r="K70" s="1562"/>
      <c r="L70" s="1562"/>
      <c r="M70" s="1562"/>
      <c r="N70" s="1563"/>
      <c r="O70" s="1561" t="s">
        <v>261</v>
      </c>
      <c r="P70" s="1562"/>
      <c r="Q70" s="1562"/>
      <c r="R70" s="1562"/>
      <c r="S70" s="1562"/>
      <c r="T70" s="1562"/>
      <c r="U70" s="1562"/>
      <c r="V70" s="1562"/>
      <c r="W70" s="1562"/>
      <c r="X70" s="1562"/>
      <c r="Y70" s="1562"/>
      <c r="Z70" s="1562"/>
      <c r="AA70" s="1563"/>
    </row>
    <row r="71" spans="1:60" x14ac:dyDescent="0.2">
      <c r="A71" s="342"/>
      <c r="B71" s="1558" t="s">
        <v>121</v>
      </c>
      <c r="C71" s="1559"/>
      <c r="D71" s="1559"/>
      <c r="E71" s="1559"/>
      <c r="F71" s="1559"/>
      <c r="G71" s="1559"/>
      <c r="H71" s="1559"/>
      <c r="I71" s="1559"/>
      <c r="J71" s="1559"/>
      <c r="K71" s="1559"/>
      <c r="L71" s="1559"/>
      <c r="M71" s="400"/>
      <c r="N71" s="343"/>
      <c r="O71" s="1558" t="s">
        <v>121</v>
      </c>
      <c r="P71" s="1559"/>
      <c r="Q71" s="1559"/>
      <c r="R71" s="1559"/>
      <c r="S71" s="1559"/>
      <c r="T71" s="1559"/>
      <c r="U71" s="1559"/>
      <c r="V71" s="1559"/>
      <c r="W71" s="1559"/>
      <c r="X71" s="1559"/>
      <c r="Y71" s="1559"/>
      <c r="Z71" s="400"/>
      <c r="AA71" s="343"/>
      <c r="AC71" s="1060" t="s">
        <v>276</v>
      </c>
      <c r="AD71" s="252" t="b">
        <f>INDEX(TECH_OPT_FUEL2_Cls1,MATCH(RIGHT(O70),TECH_OPT_ROWS_Cls1,0))&lt;&gt;"N/A"</f>
        <v>0</v>
      </c>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2"/>
      <c r="AC72" s="1060" t="s">
        <v>277</v>
      </c>
      <c r="AD72" s="252">
        <f>MATCH(RIGHT(O70),TECH_OPT_ROWS_Cls1,0)</f>
        <v>2</v>
      </c>
    </row>
    <row r="73" spans="1:60" s="246" customFormat="1" ht="13.5" thickTop="1" thickBot="1" x14ac:dyDescent="0.25">
      <c r="A73" s="353" t="s">
        <v>124</v>
      </c>
      <c r="B73" s="358">
        <f t="array" ref="B73:L73">TRANSPOSE(Cls2CentTruckShr)</f>
        <v>3.9559734044076443E-2</v>
      </c>
      <c r="C73" s="359">
        <v>8.9650908809480775E-2</v>
      </c>
      <c r="D73" s="359">
        <v>9.1857251580802685E-2</v>
      </c>
      <c r="E73" s="359">
        <v>9.271536797287637E-2</v>
      </c>
      <c r="F73" s="359">
        <v>0.10920126324528824</v>
      </c>
      <c r="G73" s="359">
        <v>4.7813378096654632E-2</v>
      </c>
      <c r="H73" s="359">
        <v>5.2826626309680449E-2</v>
      </c>
      <c r="I73" s="359">
        <v>3.3324854637922362E-2</v>
      </c>
      <c r="J73" s="359">
        <v>1.4796369103015083E-2</v>
      </c>
      <c r="K73" s="359">
        <v>6.5522293759777608E-3</v>
      </c>
      <c r="L73" s="396">
        <v>1.1207747736094297E-2</v>
      </c>
      <c r="M73" s="402"/>
      <c r="N73" s="354"/>
      <c r="O73" s="358">
        <f t="array" ref="O73:Y73">TRANSPOSE(Cls2NCentTruckShr)</f>
        <v>4.6052840844996765E-2</v>
      </c>
      <c r="P73" s="359">
        <v>6.7033462620106746E-2</v>
      </c>
      <c r="Q73" s="359">
        <v>6.2316087841293416E-2</v>
      </c>
      <c r="R73" s="359">
        <v>6.9108422941336428E-2</v>
      </c>
      <c r="S73" s="359">
        <v>7.8222088301235171E-2</v>
      </c>
      <c r="T73" s="359">
        <v>3.5529474750239771E-2</v>
      </c>
      <c r="U73" s="359">
        <v>3.0248313910710867E-2</v>
      </c>
      <c r="V73" s="359">
        <v>8.2628405675757074E-3</v>
      </c>
      <c r="W73" s="359">
        <v>6.4250307191884484E-3</v>
      </c>
      <c r="X73" s="359">
        <v>1.9993158802676368E-3</v>
      </c>
      <c r="Y73" s="1317">
        <v>5.2963907111801883E-3</v>
      </c>
      <c r="Z73" s="402"/>
      <c r="AA73" s="354"/>
    </row>
    <row r="74" spans="1:60" s="246" customFormat="1" x14ac:dyDescent="0.2">
      <c r="A74" s="349" t="s">
        <v>125</v>
      </c>
      <c r="B74" s="1029">
        <f t="array" ref="B74:L74">TRANSPOSE(Cls2CentVMTShr)</f>
        <v>6.3375455551975849E-3</v>
      </c>
      <c r="C74" s="1030">
        <v>3.496913005496359E-2</v>
      </c>
      <c r="D74" s="1030">
        <v>5.9955127131675522E-2</v>
      </c>
      <c r="E74" s="1030">
        <v>8.4599669387910512E-2</v>
      </c>
      <c r="F74" s="1030">
        <v>0.12702701008436962</v>
      </c>
      <c r="G74" s="1030">
        <v>6.7204731283582092E-2</v>
      </c>
      <c r="H74" s="1030">
        <v>8.8708982453757024E-2</v>
      </c>
      <c r="I74" s="1030">
        <v>6.4694225377098208E-2</v>
      </c>
      <c r="J74" s="1030">
        <v>3.2526447027526634E-2</v>
      </c>
      <c r="K74" s="1030">
        <v>1.589064319454132E-2</v>
      </c>
      <c r="L74" s="1318">
        <v>3.2608183213810787E-2</v>
      </c>
      <c r="M74" s="1319"/>
      <c r="N74" s="1320"/>
      <c r="O74" s="1029">
        <f t="array" ref="O74:Y74">TRANSPOSE(Cls2NCentVMTShr)</f>
        <v>8.1228463417563086E-3</v>
      </c>
      <c r="P74" s="1030">
        <v>2.7563836768431361E-2</v>
      </c>
      <c r="Q74" s="1030">
        <v>4.1883113088337191E-2</v>
      </c>
      <c r="R74" s="1030">
        <v>6.4289357588678764E-2</v>
      </c>
      <c r="S74" s="1030">
        <v>9.1183275251204537E-2</v>
      </c>
      <c r="T74" s="1030">
        <v>5.1984283219922628E-2</v>
      </c>
      <c r="U74" s="1030">
        <v>5.0286059545109812E-2</v>
      </c>
      <c r="V74" s="1030">
        <v>1.5542287574292338E-2</v>
      </c>
      <c r="W74" s="1030">
        <v>1.4506257462625264E-2</v>
      </c>
      <c r="X74" s="1030">
        <v>4.9330966304706684E-3</v>
      </c>
      <c r="Y74" s="1031">
        <v>1.5183891764738403E-2</v>
      </c>
      <c r="Z74" s="1319"/>
      <c r="AA74" s="1320"/>
      <c r="AB74" s="1574" t="str">
        <f>"% of miles on f2 for Tech "&amp; RIGHT(O69)&amp;" adopters"</f>
        <v>% of miles on f2 for Tech  adopters</v>
      </c>
      <c r="AC74" s="1575"/>
      <c r="AD74" s="1576"/>
      <c r="AE74" s="1281" t="s">
        <v>307</v>
      </c>
      <c r="AF74" s="1281"/>
      <c r="AG74" s="1281"/>
      <c r="AH74" s="1282" t="s">
        <v>306</v>
      </c>
      <c r="AI74" s="1283"/>
    </row>
    <row r="75" spans="1:60" ht="13.5" thickBot="1" x14ac:dyDescent="0.25">
      <c r="A75" s="1048" t="s">
        <v>275</v>
      </c>
      <c r="B75" s="1039">
        <f t="array" ref="B75:L75">TRANSPOSE(Cls2CentVMT/OPDAYS_Cls2)</f>
        <v>49.332453271995263</v>
      </c>
      <c r="C75" s="1040">
        <v>120.11441047790339</v>
      </c>
      <c r="D75" s="1040">
        <v>200.99157969807086</v>
      </c>
      <c r="E75" s="1040">
        <v>280.98421424125928</v>
      </c>
      <c r="F75" s="1040">
        <v>358.20644524895255</v>
      </c>
      <c r="G75" s="1040">
        <v>432.82805471770689</v>
      </c>
      <c r="H75" s="1040">
        <v>517.10615118099815</v>
      </c>
      <c r="I75" s="1040">
        <v>597.8087063838957</v>
      </c>
      <c r="J75" s="1040">
        <v>676.93419409560215</v>
      </c>
      <c r="K75" s="1040">
        <v>746.82245226325631</v>
      </c>
      <c r="L75" s="1041">
        <v>895.92826380844349</v>
      </c>
      <c r="M75" s="1037"/>
      <c r="N75" s="1038"/>
      <c r="O75" s="1039">
        <f t="array" ref="O75:Y75">TRANSPOSE(Cls2NCentVMT/OPDAYS_Cls2)</f>
        <v>54.31462614952413</v>
      </c>
      <c r="P75" s="1040">
        <v>126.62311644744663</v>
      </c>
      <c r="Q75" s="1040">
        <v>206.96826351576016</v>
      </c>
      <c r="R75" s="1040">
        <v>286.46600131499179</v>
      </c>
      <c r="S75" s="1040">
        <v>358.9638908170715</v>
      </c>
      <c r="T75" s="1040">
        <v>450.55545819643328</v>
      </c>
      <c r="U75" s="1040">
        <v>511.93098482414172</v>
      </c>
      <c r="V75" s="1040">
        <v>579.22933632093111</v>
      </c>
      <c r="W75" s="1040">
        <v>695.25665569614875</v>
      </c>
      <c r="X75" s="1040">
        <v>759.80682330760794</v>
      </c>
      <c r="Y75" s="1321">
        <v>882.81167173661356</v>
      </c>
      <c r="Z75" s="1049"/>
      <c r="AA75" s="1038"/>
      <c r="AB75" s="1051" t="s">
        <v>188</v>
      </c>
      <c r="AC75" s="1052" t="s">
        <v>15</v>
      </c>
      <c r="AD75" s="1053" t="s">
        <v>18</v>
      </c>
      <c r="AE75" s="1043" t="s">
        <v>188</v>
      </c>
      <c r="AF75" s="1043" t="s">
        <v>15</v>
      </c>
      <c r="AG75" s="1043" t="s">
        <v>18</v>
      </c>
      <c r="AH75" s="1280" t="s">
        <v>188</v>
      </c>
      <c r="AI75" s="1043" t="s">
        <v>15</v>
      </c>
      <c r="AJ75" s="341"/>
      <c r="AK75" s="341"/>
      <c r="AL75" s="341"/>
      <c r="AM75" s="341"/>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300">
        <f>SUMPRODUCT($B$74:$L$74,$B76:$L76)</f>
        <v>0</v>
      </c>
      <c r="N76" s="302">
        <f>SUMPRODUCT($B$73:$L$73,$B76:$L76)</f>
        <v>0</v>
      </c>
      <c r="O76" s="360">
        <v>0</v>
      </c>
      <c r="P76" s="361">
        <v>0</v>
      </c>
      <c r="Q76" s="361">
        <v>0</v>
      </c>
      <c r="R76" s="361">
        <v>0</v>
      </c>
      <c r="S76" s="361">
        <v>0</v>
      </c>
      <c r="T76" s="361">
        <v>0</v>
      </c>
      <c r="U76" s="361">
        <v>0</v>
      </c>
      <c r="V76" s="361">
        <v>0</v>
      </c>
      <c r="W76" s="361">
        <v>0</v>
      </c>
      <c r="X76" s="361">
        <v>0</v>
      </c>
      <c r="Y76" s="397">
        <v>0</v>
      </c>
      <c r="Z76" s="300">
        <f>SUMPRODUCT($O$74:$Y$74,$O76:$Y76)</f>
        <v>0</v>
      </c>
      <c r="AA76" s="302">
        <f>SUMPRODUCT($O$73:$Y$73,$O76:$Y76)</f>
        <v>0</v>
      </c>
      <c r="AB76" s="1054">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1055">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334">
        <f t="shared" ref="AD76:AD101" si="75">AB76*AH76+AC76*AI76</f>
        <v>0</v>
      </c>
      <c r="AE76" s="1043">
        <f t="shared" ref="AE76:AE90" si="76">SUMPRODUCT($B$74:$L$74,B76:L76)</f>
        <v>0</v>
      </c>
      <c r="AF76" s="1043">
        <f t="shared" ref="AF76:AF90" si="77">SUMPRODUCT($O$74:$Y$74,O76:Y76)</f>
        <v>0</v>
      </c>
      <c r="AG76" s="1043">
        <f t="shared" ref="AG76:AG90" si="78">SUM(AE76:AF76)</f>
        <v>0</v>
      </c>
      <c r="AH76" s="1280">
        <f>IF(AG76&gt;0,AE76/AG76,0)</f>
        <v>0</v>
      </c>
      <c r="AI76" s="1043">
        <f>IF(AG76&gt;0,AF76/AG76,0)</f>
        <v>0</v>
      </c>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9">SUMPRODUCT($B$74:$L$74,$B77:$L77)</f>
        <v>0</v>
      </c>
      <c r="N77" s="316">
        <f t="shared" ref="N77:N118" si="80">SUMPRODUCT($B$73:$L$73,$B77:$L77)</f>
        <v>0</v>
      </c>
      <c r="O77" s="362">
        <v>0</v>
      </c>
      <c r="P77" s="363">
        <v>0</v>
      </c>
      <c r="Q77" s="363">
        <v>0</v>
      </c>
      <c r="R77" s="363">
        <v>0</v>
      </c>
      <c r="S77" s="363">
        <v>0</v>
      </c>
      <c r="T77" s="363">
        <v>0</v>
      </c>
      <c r="U77" s="363">
        <v>0</v>
      </c>
      <c r="V77" s="363">
        <v>0</v>
      </c>
      <c r="W77" s="363">
        <v>0</v>
      </c>
      <c r="X77" s="363">
        <v>0</v>
      </c>
      <c r="Y77" s="398">
        <v>0</v>
      </c>
      <c r="Z77" s="314">
        <f t="shared" ref="Z77:Z118" si="81">SUMPRODUCT($O$74:$Y$74,$O77:$Y77)</f>
        <v>0</v>
      </c>
      <c r="AA77" s="316">
        <f t="shared" ref="AA77:AA119" si="82">SUMPRODUCT($O$73:$Y$73,$O77:$Y77)</f>
        <v>0</v>
      </c>
      <c r="AB77" s="1054">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1055">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334">
        <f t="shared" si="75"/>
        <v>0</v>
      </c>
      <c r="AE77" s="1043">
        <f t="shared" si="76"/>
        <v>0</v>
      </c>
      <c r="AF77" s="1043">
        <f t="shared" si="77"/>
        <v>0</v>
      </c>
      <c r="AG77" s="1043">
        <f t="shared" si="78"/>
        <v>0</v>
      </c>
      <c r="AH77" s="1280">
        <f t="shared" ref="AH77:AH119" si="83">IF(AG77&gt;0,AE77/AG77,0)</f>
        <v>0</v>
      </c>
      <c r="AI77" s="1043">
        <f t="shared" ref="AI77:AI119" si="84">IF(AG77&gt;0,AF77/AG77,0)</f>
        <v>0</v>
      </c>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9"/>
        <v>0</v>
      </c>
      <c r="N78" s="316">
        <f t="shared" si="80"/>
        <v>0</v>
      </c>
      <c r="O78" s="362">
        <v>0</v>
      </c>
      <c r="P78" s="363">
        <v>0</v>
      </c>
      <c r="Q78" s="363">
        <v>0</v>
      </c>
      <c r="R78" s="363">
        <v>0</v>
      </c>
      <c r="S78" s="363">
        <v>0</v>
      </c>
      <c r="T78" s="363">
        <v>0</v>
      </c>
      <c r="U78" s="363">
        <v>0</v>
      </c>
      <c r="V78" s="363">
        <v>0</v>
      </c>
      <c r="W78" s="363">
        <v>0</v>
      </c>
      <c r="X78" s="363">
        <v>0</v>
      </c>
      <c r="Y78" s="398">
        <v>0</v>
      </c>
      <c r="Z78" s="314">
        <f t="shared" si="81"/>
        <v>0</v>
      </c>
      <c r="AA78" s="316">
        <f t="shared" si="82"/>
        <v>0</v>
      </c>
      <c r="AB78" s="1054">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1055">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334">
        <f t="shared" si="75"/>
        <v>0</v>
      </c>
      <c r="AE78" s="1043">
        <f t="shared" si="76"/>
        <v>0</v>
      </c>
      <c r="AF78" s="1043">
        <f t="shared" si="77"/>
        <v>0</v>
      </c>
      <c r="AG78" s="1043">
        <f t="shared" si="78"/>
        <v>0</v>
      </c>
      <c r="AH78" s="1280">
        <f t="shared" si="83"/>
        <v>0</v>
      </c>
      <c r="AI78" s="1043">
        <f t="shared" si="84"/>
        <v>0</v>
      </c>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9"/>
        <v>0</v>
      </c>
      <c r="N79" s="330">
        <f t="shared" si="80"/>
        <v>0</v>
      </c>
      <c r="O79" s="364">
        <v>0</v>
      </c>
      <c r="P79" s="365">
        <v>0</v>
      </c>
      <c r="Q79" s="365">
        <v>0</v>
      </c>
      <c r="R79" s="365">
        <v>0</v>
      </c>
      <c r="S79" s="365">
        <v>0</v>
      </c>
      <c r="T79" s="365">
        <v>0</v>
      </c>
      <c r="U79" s="365">
        <v>0</v>
      </c>
      <c r="V79" s="365">
        <v>0</v>
      </c>
      <c r="W79" s="365">
        <v>0</v>
      </c>
      <c r="X79" s="365">
        <v>0</v>
      </c>
      <c r="Y79" s="399">
        <v>0</v>
      </c>
      <c r="Z79" s="328">
        <f t="shared" si="81"/>
        <v>0</v>
      </c>
      <c r="AA79" s="330">
        <f t="shared" si="82"/>
        <v>0</v>
      </c>
      <c r="AB79" s="1054">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1055">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334">
        <f t="shared" si="75"/>
        <v>0</v>
      </c>
      <c r="AE79" s="1043">
        <f t="shared" si="76"/>
        <v>0</v>
      </c>
      <c r="AF79" s="1043">
        <f t="shared" si="77"/>
        <v>0</v>
      </c>
      <c r="AG79" s="1043">
        <f t="shared" si="78"/>
        <v>0</v>
      </c>
      <c r="AH79" s="1280">
        <f t="shared" si="83"/>
        <v>0</v>
      </c>
      <c r="AI79" s="1043">
        <f t="shared" si="84"/>
        <v>0</v>
      </c>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9"/>
        <v>0</v>
      </c>
      <c r="N80" s="302">
        <f t="shared" si="80"/>
        <v>0</v>
      </c>
      <c r="O80" s="360">
        <v>0</v>
      </c>
      <c r="P80" s="361">
        <v>0</v>
      </c>
      <c r="Q80" s="361">
        <v>0</v>
      </c>
      <c r="R80" s="361">
        <v>0</v>
      </c>
      <c r="S80" s="361">
        <v>0</v>
      </c>
      <c r="T80" s="361">
        <v>0</v>
      </c>
      <c r="U80" s="361">
        <v>0</v>
      </c>
      <c r="V80" s="361">
        <v>0</v>
      </c>
      <c r="W80" s="361">
        <v>0</v>
      </c>
      <c r="X80" s="361">
        <v>0</v>
      </c>
      <c r="Y80" s="397">
        <v>0</v>
      </c>
      <c r="Z80" s="300">
        <f t="shared" si="81"/>
        <v>0</v>
      </c>
      <c r="AA80" s="302">
        <f t="shared" si="82"/>
        <v>0</v>
      </c>
      <c r="AB80" s="1054">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1055">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334">
        <f t="shared" si="75"/>
        <v>0</v>
      </c>
      <c r="AE80" s="1043">
        <f t="shared" si="76"/>
        <v>0</v>
      </c>
      <c r="AF80" s="1043">
        <f t="shared" si="77"/>
        <v>0</v>
      </c>
      <c r="AG80" s="1043">
        <f t="shared" si="78"/>
        <v>0</v>
      </c>
      <c r="AH80" s="1280">
        <f t="shared" si="83"/>
        <v>0</v>
      </c>
      <c r="AI80" s="1043">
        <f t="shared" si="84"/>
        <v>0</v>
      </c>
    </row>
    <row r="81" spans="1:38" x14ac:dyDescent="0.2">
      <c r="A81" s="348">
        <v>2012</v>
      </c>
      <c r="B81" s="362">
        <v>0</v>
      </c>
      <c r="C81" s="363">
        <v>0</v>
      </c>
      <c r="D81" s="363">
        <v>0</v>
      </c>
      <c r="E81" s="363">
        <v>0</v>
      </c>
      <c r="F81" s="363">
        <v>0</v>
      </c>
      <c r="G81" s="363">
        <v>0</v>
      </c>
      <c r="H81" s="363">
        <v>0</v>
      </c>
      <c r="I81" s="363">
        <v>0</v>
      </c>
      <c r="J81" s="363">
        <v>0</v>
      </c>
      <c r="K81" s="363">
        <v>0</v>
      </c>
      <c r="L81" s="398">
        <v>0</v>
      </c>
      <c r="M81" s="314">
        <f t="shared" si="79"/>
        <v>0</v>
      </c>
      <c r="N81" s="316">
        <f t="shared" si="80"/>
        <v>0</v>
      </c>
      <c r="O81" s="362">
        <v>0</v>
      </c>
      <c r="P81" s="363">
        <v>0</v>
      </c>
      <c r="Q81" s="363">
        <v>0</v>
      </c>
      <c r="R81" s="363">
        <v>0</v>
      </c>
      <c r="S81" s="363">
        <v>0</v>
      </c>
      <c r="T81" s="363">
        <v>0</v>
      </c>
      <c r="U81" s="363">
        <v>0</v>
      </c>
      <c r="V81" s="363">
        <v>0</v>
      </c>
      <c r="W81" s="363">
        <v>0</v>
      </c>
      <c r="X81" s="363">
        <v>0</v>
      </c>
      <c r="Y81" s="398">
        <v>0</v>
      </c>
      <c r="Z81" s="314">
        <f t="shared" si="81"/>
        <v>0</v>
      </c>
      <c r="AA81" s="316">
        <f t="shared" si="82"/>
        <v>0</v>
      </c>
      <c r="AB81" s="1054">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1055">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334">
        <f t="shared" si="75"/>
        <v>0</v>
      </c>
      <c r="AE81" s="1043">
        <f t="shared" si="76"/>
        <v>0</v>
      </c>
      <c r="AF81" s="1043">
        <f t="shared" si="77"/>
        <v>0</v>
      </c>
      <c r="AG81" s="1043">
        <f t="shared" si="78"/>
        <v>0</v>
      </c>
      <c r="AH81" s="1280">
        <f t="shared" si="83"/>
        <v>0</v>
      </c>
      <c r="AI81" s="1043">
        <f t="shared" si="84"/>
        <v>0</v>
      </c>
    </row>
    <row r="82" spans="1:38" x14ac:dyDescent="0.2">
      <c r="A82" s="348">
        <v>2013</v>
      </c>
      <c r="B82" s="362">
        <v>0</v>
      </c>
      <c r="C82" s="363">
        <v>0</v>
      </c>
      <c r="D82" s="363">
        <v>0</v>
      </c>
      <c r="E82" s="363">
        <v>0</v>
      </c>
      <c r="F82" s="363">
        <v>0</v>
      </c>
      <c r="G82" s="363">
        <v>0</v>
      </c>
      <c r="H82" s="363">
        <v>0</v>
      </c>
      <c r="I82" s="363">
        <v>0</v>
      </c>
      <c r="J82" s="363">
        <v>0</v>
      </c>
      <c r="K82" s="363">
        <v>0</v>
      </c>
      <c r="L82" s="398">
        <v>0</v>
      </c>
      <c r="M82" s="314">
        <f t="shared" si="79"/>
        <v>0</v>
      </c>
      <c r="N82" s="316">
        <f t="shared" si="80"/>
        <v>0</v>
      </c>
      <c r="O82" s="362">
        <v>0</v>
      </c>
      <c r="P82" s="363">
        <v>0</v>
      </c>
      <c r="Q82" s="363">
        <v>0</v>
      </c>
      <c r="R82" s="363">
        <v>0</v>
      </c>
      <c r="S82" s="363">
        <v>0</v>
      </c>
      <c r="T82" s="363">
        <v>0</v>
      </c>
      <c r="U82" s="363">
        <v>0</v>
      </c>
      <c r="V82" s="363">
        <v>0</v>
      </c>
      <c r="W82" s="363">
        <v>0</v>
      </c>
      <c r="X82" s="363">
        <v>0</v>
      </c>
      <c r="Y82" s="398">
        <v>0</v>
      </c>
      <c r="Z82" s="314">
        <f t="shared" si="81"/>
        <v>0</v>
      </c>
      <c r="AA82" s="316">
        <f t="shared" si="82"/>
        <v>0</v>
      </c>
      <c r="AB82" s="1054">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1055">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334">
        <f t="shared" si="75"/>
        <v>0</v>
      </c>
      <c r="AE82" s="1043">
        <f t="shared" si="76"/>
        <v>0</v>
      </c>
      <c r="AF82" s="1043">
        <f t="shared" si="77"/>
        <v>0</v>
      </c>
      <c r="AG82" s="1043">
        <f t="shared" si="78"/>
        <v>0</v>
      </c>
      <c r="AH82" s="1280">
        <f t="shared" si="83"/>
        <v>0</v>
      </c>
      <c r="AI82" s="1043">
        <f t="shared" si="84"/>
        <v>0</v>
      </c>
    </row>
    <row r="83" spans="1:38" x14ac:dyDescent="0.2">
      <c r="A83" s="348">
        <v>2014</v>
      </c>
      <c r="B83" s="362">
        <v>0</v>
      </c>
      <c r="C83" s="363">
        <v>0</v>
      </c>
      <c r="D83" s="363">
        <v>0</v>
      </c>
      <c r="E83" s="363">
        <v>0</v>
      </c>
      <c r="F83" s="363">
        <v>0</v>
      </c>
      <c r="G83" s="363">
        <v>0</v>
      </c>
      <c r="H83" s="363">
        <v>0</v>
      </c>
      <c r="I83" s="363">
        <v>0</v>
      </c>
      <c r="J83" s="363">
        <v>0</v>
      </c>
      <c r="K83" s="363">
        <v>0</v>
      </c>
      <c r="L83" s="398">
        <v>0</v>
      </c>
      <c r="M83" s="314">
        <f t="shared" si="79"/>
        <v>0</v>
      </c>
      <c r="N83" s="316">
        <f t="shared" si="80"/>
        <v>0</v>
      </c>
      <c r="O83" s="362">
        <v>0</v>
      </c>
      <c r="P83" s="363">
        <v>0</v>
      </c>
      <c r="Q83" s="363">
        <v>0</v>
      </c>
      <c r="R83" s="363">
        <v>0</v>
      </c>
      <c r="S83" s="363">
        <v>0</v>
      </c>
      <c r="T83" s="363">
        <v>0</v>
      </c>
      <c r="U83" s="363">
        <v>0</v>
      </c>
      <c r="V83" s="363">
        <v>0</v>
      </c>
      <c r="W83" s="363">
        <v>0</v>
      </c>
      <c r="X83" s="363">
        <v>0</v>
      </c>
      <c r="Y83" s="398">
        <v>0</v>
      </c>
      <c r="Z83" s="314">
        <f t="shared" si="81"/>
        <v>0</v>
      </c>
      <c r="AA83" s="316">
        <f t="shared" si="82"/>
        <v>0</v>
      </c>
      <c r="AB83" s="1054">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1055">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334">
        <f t="shared" si="75"/>
        <v>0</v>
      </c>
      <c r="AE83" s="1043">
        <f t="shared" si="76"/>
        <v>0</v>
      </c>
      <c r="AF83" s="1043">
        <f t="shared" si="77"/>
        <v>0</v>
      </c>
      <c r="AG83" s="1043">
        <f t="shared" si="78"/>
        <v>0</v>
      </c>
      <c r="AH83" s="1280">
        <f t="shared" si="83"/>
        <v>0</v>
      </c>
      <c r="AI83" s="1043">
        <f t="shared" si="84"/>
        <v>0</v>
      </c>
    </row>
    <row r="84" spans="1:38" ht="13.5" thickBot="1" x14ac:dyDescent="0.25">
      <c r="A84" s="346">
        <v>2015</v>
      </c>
      <c r="B84" s="364">
        <v>0</v>
      </c>
      <c r="C84" s="365">
        <v>0</v>
      </c>
      <c r="D84" s="365">
        <v>0</v>
      </c>
      <c r="E84" s="365">
        <v>0</v>
      </c>
      <c r="F84" s="365">
        <v>0</v>
      </c>
      <c r="G84" s="365">
        <v>0</v>
      </c>
      <c r="H84" s="365">
        <v>0</v>
      </c>
      <c r="I84" s="365">
        <v>0</v>
      </c>
      <c r="J84" s="365">
        <v>0</v>
      </c>
      <c r="K84" s="365">
        <v>0</v>
      </c>
      <c r="L84" s="399">
        <v>0</v>
      </c>
      <c r="M84" s="328">
        <f t="shared" si="79"/>
        <v>0</v>
      </c>
      <c r="N84" s="330">
        <f t="shared" si="80"/>
        <v>0</v>
      </c>
      <c r="O84" s="364">
        <v>0</v>
      </c>
      <c r="P84" s="365">
        <v>0</v>
      </c>
      <c r="Q84" s="365">
        <v>0</v>
      </c>
      <c r="R84" s="365">
        <v>0</v>
      </c>
      <c r="S84" s="365">
        <v>0</v>
      </c>
      <c r="T84" s="365">
        <v>0</v>
      </c>
      <c r="U84" s="365">
        <v>0</v>
      </c>
      <c r="V84" s="365">
        <v>0</v>
      </c>
      <c r="W84" s="365">
        <v>0</v>
      </c>
      <c r="X84" s="365">
        <v>0</v>
      </c>
      <c r="Y84" s="399">
        <v>0</v>
      </c>
      <c r="Z84" s="328">
        <f t="shared" si="81"/>
        <v>0</v>
      </c>
      <c r="AA84" s="330">
        <f t="shared" si="82"/>
        <v>0</v>
      </c>
      <c r="AB84" s="1054">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1055">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334">
        <f t="shared" si="75"/>
        <v>0</v>
      </c>
      <c r="AE84" s="1043">
        <f t="shared" si="76"/>
        <v>0</v>
      </c>
      <c r="AF84" s="1043">
        <f t="shared" si="77"/>
        <v>0</v>
      </c>
      <c r="AG84" s="1043">
        <f t="shared" si="78"/>
        <v>0</v>
      </c>
      <c r="AH84" s="1280">
        <f t="shared" si="83"/>
        <v>0</v>
      </c>
      <c r="AI84" s="1043">
        <f t="shared" si="84"/>
        <v>0</v>
      </c>
    </row>
    <row r="85" spans="1:38" x14ac:dyDescent="0.2">
      <c r="A85" s="347">
        <v>2016</v>
      </c>
      <c r="B85" s="360">
        <v>0</v>
      </c>
      <c r="C85" s="361">
        <v>0</v>
      </c>
      <c r="D85" s="361">
        <v>0</v>
      </c>
      <c r="E85" s="361">
        <v>0</v>
      </c>
      <c r="F85" s="361">
        <v>0</v>
      </c>
      <c r="G85" s="361">
        <v>0</v>
      </c>
      <c r="H85" s="361">
        <v>0</v>
      </c>
      <c r="I85" s="361">
        <v>0</v>
      </c>
      <c r="J85" s="361">
        <v>0</v>
      </c>
      <c r="K85" s="361">
        <v>0</v>
      </c>
      <c r="L85" s="397">
        <v>0</v>
      </c>
      <c r="M85" s="300">
        <f t="shared" si="79"/>
        <v>0</v>
      </c>
      <c r="N85" s="302">
        <f t="shared" si="80"/>
        <v>0</v>
      </c>
      <c r="O85" s="360">
        <v>0</v>
      </c>
      <c r="P85" s="361">
        <v>0</v>
      </c>
      <c r="Q85" s="361">
        <v>0</v>
      </c>
      <c r="R85" s="361">
        <v>0</v>
      </c>
      <c r="S85" s="361">
        <v>0</v>
      </c>
      <c r="T85" s="361">
        <v>0</v>
      </c>
      <c r="U85" s="361">
        <v>0</v>
      </c>
      <c r="V85" s="361">
        <v>0</v>
      </c>
      <c r="W85" s="361">
        <v>0</v>
      </c>
      <c r="X85" s="361">
        <v>0</v>
      </c>
      <c r="Y85" s="397">
        <v>0</v>
      </c>
      <c r="Z85" s="300">
        <f t="shared" si="81"/>
        <v>0</v>
      </c>
      <c r="AA85" s="302">
        <f t="shared" si="82"/>
        <v>0</v>
      </c>
      <c r="AB85" s="1054">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1055">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334">
        <f t="shared" si="75"/>
        <v>0</v>
      </c>
      <c r="AE85" s="1043">
        <f t="shared" si="76"/>
        <v>0</v>
      </c>
      <c r="AF85" s="1043">
        <f t="shared" si="77"/>
        <v>0</v>
      </c>
      <c r="AG85" s="1043">
        <f t="shared" si="78"/>
        <v>0</v>
      </c>
      <c r="AH85" s="1280">
        <f t="shared" si="83"/>
        <v>0</v>
      </c>
      <c r="AI85" s="1043">
        <f t="shared" si="84"/>
        <v>0</v>
      </c>
    </row>
    <row r="86" spans="1:38" x14ac:dyDescent="0.2">
      <c r="A86" s="348">
        <v>2017</v>
      </c>
      <c r="B86" s="362">
        <v>0</v>
      </c>
      <c r="C86" s="363">
        <v>0</v>
      </c>
      <c r="D86" s="363">
        <v>0</v>
      </c>
      <c r="E86" s="363">
        <v>0</v>
      </c>
      <c r="F86" s="363">
        <v>0</v>
      </c>
      <c r="G86" s="363">
        <v>0</v>
      </c>
      <c r="H86" s="363">
        <v>0</v>
      </c>
      <c r="I86" s="363">
        <v>0</v>
      </c>
      <c r="J86" s="363">
        <v>0</v>
      </c>
      <c r="K86" s="363">
        <v>0</v>
      </c>
      <c r="L86" s="398">
        <v>0</v>
      </c>
      <c r="M86" s="314">
        <f t="shared" si="79"/>
        <v>0</v>
      </c>
      <c r="N86" s="316">
        <f t="shared" si="80"/>
        <v>0</v>
      </c>
      <c r="O86" s="362">
        <v>0</v>
      </c>
      <c r="P86" s="363">
        <v>0</v>
      </c>
      <c r="Q86" s="363">
        <v>0</v>
      </c>
      <c r="R86" s="363">
        <v>0</v>
      </c>
      <c r="S86" s="363">
        <v>0</v>
      </c>
      <c r="T86" s="363">
        <v>0</v>
      </c>
      <c r="U86" s="363">
        <v>0</v>
      </c>
      <c r="V86" s="363">
        <v>0</v>
      </c>
      <c r="W86" s="363">
        <v>0</v>
      </c>
      <c r="X86" s="363">
        <v>0</v>
      </c>
      <c r="Y86" s="398">
        <v>0</v>
      </c>
      <c r="Z86" s="314">
        <f t="shared" si="81"/>
        <v>0</v>
      </c>
      <c r="AA86" s="316">
        <f t="shared" si="82"/>
        <v>0</v>
      </c>
      <c r="AB86" s="1054">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1055">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334">
        <f t="shared" si="75"/>
        <v>0</v>
      </c>
      <c r="AE86" s="1043">
        <f t="shared" si="76"/>
        <v>0</v>
      </c>
      <c r="AF86" s="1043">
        <f t="shared" si="77"/>
        <v>0</v>
      </c>
      <c r="AG86" s="1043">
        <f t="shared" si="78"/>
        <v>0</v>
      </c>
      <c r="AH86" s="1280">
        <f t="shared" si="83"/>
        <v>0</v>
      </c>
      <c r="AI86" s="1043">
        <f t="shared" si="84"/>
        <v>0</v>
      </c>
    </row>
    <row r="87" spans="1:38" x14ac:dyDescent="0.2">
      <c r="A87" s="348">
        <v>2018</v>
      </c>
      <c r="B87" s="362">
        <v>0</v>
      </c>
      <c r="C87" s="363">
        <v>0</v>
      </c>
      <c r="D87" s="363">
        <v>0</v>
      </c>
      <c r="E87" s="363">
        <v>0</v>
      </c>
      <c r="F87" s="363">
        <v>0</v>
      </c>
      <c r="G87" s="363">
        <v>0</v>
      </c>
      <c r="H87" s="363">
        <v>0</v>
      </c>
      <c r="I87" s="363">
        <v>0</v>
      </c>
      <c r="J87" s="363">
        <v>0</v>
      </c>
      <c r="K87" s="363">
        <v>0</v>
      </c>
      <c r="L87" s="398">
        <v>0</v>
      </c>
      <c r="M87" s="314">
        <f t="shared" si="79"/>
        <v>0</v>
      </c>
      <c r="N87" s="316">
        <f t="shared" si="80"/>
        <v>0</v>
      </c>
      <c r="O87" s="362">
        <v>0</v>
      </c>
      <c r="P87" s="363">
        <v>0</v>
      </c>
      <c r="Q87" s="363">
        <v>0</v>
      </c>
      <c r="R87" s="363">
        <v>0</v>
      </c>
      <c r="S87" s="363">
        <v>0</v>
      </c>
      <c r="T87" s="363">
        <v>0</v>
      </c>
      <c r="U87" s="363">
        <v>0</v>
      </c>
      <c r="V87" s="363">
        <v>0</v>
      </c>
      <c r="W87" s="363">
        <v>0</v>
      </c>
      <c r="X87" s="363">
        <v>0</v>
      </c>
      <c r="Y87" s="398">
        <v>0</v>
      </c>
      <c r="Z87" s="314">
        <f t="shared" si="81"/>
        <v>0</v>
      </c>
      <c r="AA87" s="316">
        <f t="shared" si="82"/>
        <v>0</v>
      </c>
      <c r="AB87" s="1054">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1055">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334">
        <f t="shared" si="75"/>
        <v>0</v>
      </c>
      <c r="AE87" s="1043">
        <f t="shared" si="76"/>
        <v>0</v>
      </c>
      <c r="AF87" s="1043">
        <f t="shared" si="77"/>
        <v>0</v>
      </c>
      <c r="AG87" s="1043">
        <f t="shared" si="78"/>
        <v>0</v>
      </c>
      <c r="AH87" s="1280">
        <f t="shared" si="83"/>
        <v>0</v>
      </c>
      <c r="AI87" s="1043">
        <f t="shared" si="84"/>
        <v>0</v>
      </c>
    </row>
    <row r="88" spans="1:38" x14ac:dyDescent="0.2">
      <c r="A88" s="348">
        <v>2019</v>
      </c>
      <c r="B88" s="362">
        <v>0</v>
      </c>
      <c r="C88" s="363">
        <v>0</v>
      </c>
      <c r="D88" s="363">
        <v>0</v>
      </c>
      <c r="E88" s="363">
        <v>0</v>
      </c>
      <c r="F88" s="363">
        <v>0</v>
      </c>
      <c r="G88" s="363">
        <v>0</v>
      </c>
      <c r="H88" s="363">
        <v>0</v>
      </c>
      <c r="I88" s="363">
        <v>0</v>
      </c>
      <c r="J88" s="363">
        <v>0</v>
      </c>
      <c r="K88" s="363">
        <v>0</v>
      </c>
      <c r="L88" s="398">
        <v>0</v>
      </c>
      <c r="M88" s="314">
        <f t="shared" si="79"/>
        <v>0</v>
      </c>
      <c r="N88" s="316">
        <f t="shared" si="80"/>
        <v>0</v>
      </c>
      <c r="O88" s="362">
        <v>0</v>
      </c>
      <c r="P88" s="363">
        <v>0</v>
      </c>
      <c r="Q88" s="363">
        <v>0</v>
      </c>
      <c r="R88" s="363">
        <v>0</v>
      </c>
      <c r="S88" s="363">
        <v>0</v>
      </c>
      <c r="T88" s="363">
        <v>0</v>
      </c>
      <c r="U88" s="363">
        <v>0</v>
      </c>
      <c r="V88" s="363">
        <v>0</v>
      </c>
      <c r="W88" s="363">
        <v>0</v>
      </c>
      <c r="X88" s="363">
        <v>0</v>
      </c>
      <c r="Y88" s="398">
        <v>0</v>
      </c>
      <c r="Z88" s="314">
        <f t="shared" si="81"/>
        <v>0</v>
      </c>
      <c r="AA88" s="316">
        <f t="shared" si="82"/>
        <v>0</v>
      </c>
      <c r="AB88" s="1054">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1055">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334">
        <f t="shared" si="75"/>
        <v>0</v>
      </c>
      <c r="AE88" s="1043">
        <f t="shared" si="76"/>
        <v>0</v>
      </c>
      <c r="AF88" s="1043">
        <f t="shared" si="77"/>
        <v>0</v>
      </c>
      <c r="AG88" s="1043">
        <f t="shared" si="78"/>
        <v>0</v>
      </c>
      <c r="AH88" s="1280">
        <f t="shared" si="83"/>
        <v>0</v>
      </c>
      <c r="AI88" s="1043">
        <f t="shared" si="84"/>
        <v>0</v>
      </c>
    </row>
    <row r="89" spans="1:38" ht="13.5" thickBot="1" x14ac:dyDescent="0.25">
      <c r="A89" s="346">
        <v>2020</v>
      </c>
      <c r="B89" s="364">
        <v>0</v>
      </c>
      <c r="C89" s="365">
        <v>0</v>
      </c>
      <c r="D89" s="365">
        <v>0</v>
      </c>
      <c r="E89" s="365">
        <v>0</v>
      </c>
      <c r="F89" s="365">
        <v>0</v>
      </c>
      <c r="G89" s="365">
        <v>0</v>
      </c>
      <c r="H89" s="365">
        <v>0</v>
      </c>
      <c r="I89" s="365">
        <v>0</v>
      </c>
      <c r="J89" s="365">
        <v>0</v>
      </c>
      <c r="K89" s="365">
        <v>0</v>
      </c>
      <c r="L89" s="399">
        <v>0</v>
      </c>
      <c r="M89" s="328">
        <f t="shared" si="79"/>
        <v>0</v>
      </c>
      <c r="N89" s="330">
        <f t="shared" si="80"/>
        <v>0</v>
      </c>
      <c r="O89" s="364">
        <v>0</v>
      </c>
      <c r="P89" s="365">
        <v>0</v>
      </c>
      <c r="Q89" s="365">
        <v>0</v>
      </c>
      <c r="R89" s="365">
        <v>0</v>
      </c>
      <c r="S89" s="365">
        <v>0</v>
      </c>
      <c r="T89" s="365">
        <v>0</v>
      </c>
      <c r="U89" s="365">
        <v>0</v>
      </c>
      <c r="V89" s="365">
        <v>0</v>
      </c>
      <c r="W89" s="365">
        <v>0</v>
      </c>
      <c r="X89" s="365">
        <v>0</v>
      </c>
      <c r="Y89" s="399">
        <v>0</v>
      </c>
      <c r="Z89" s="328">
        <f t="shared" si="81"/>
        <v>0</v>
      </c>
      <c r="AA89" s="330">
        <f t="shared" si="82"/>
        <v>0</v>
      </c>
      <c r="AB89" s="1054">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1055">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334">
        <f t="shared" si="75"/>
        <v>0</v>
      </c>
      <c r="AE89" s="1043">
        <f t="shared" si="76"/>
        <v>0</v>
      </c>
      <c r="AF89" s="1043">
        <f t="shared" si="77"/>
        <v>0</v>
      </c>
      <c r="AG89" s="1043">
        <f t="shared" si="78"/>
        <v>0</v>
      </c>
      <c r="AH89" s="1280">
        <f t="shared" si="83"/>
        <v>0</v>
      </c>
      <c r="AI89" s="1043">
        <f t="shared" si="84"/>
        <v>0</v>
      </c>
    </row>
    <row r="90" spans="1:38" x14ac:dyDescent="0.2">
      <c r="A90" s="347">
        <v>2021</v>
      </c>
      <c r="B90" s="360">
        <v>1.2167783817670504E-2</v>
      </c>
      <c r="C90" s="361">
        <v>1.2167783817670504E-2</v>
      </c>
      <c r="D90" s="361">
        <v>1.2167783817670504E-2</v>
      </c>
      <c r="E90" s="361">
        <v>1.7865267453112496E-2</v>
      </c>
      <c r="F90" s="361">
        <v>2.3097487896704457E-2</v>
      </c>
      <c r="G90" s="361">
        <v>2.6734022528630101E-2</v>
      </c>
      <c r="H90" s="361">
        <v>2.882430557340241E-2</v>
      </c>
      <c r="I90" s="361">
        <v>2.8350661009308165E-2</v>
      </c>
      <c r="J90" s="361">
        <v>2.7233973098824863E-2</v>
      </c>
      <c r="K90" s="361">
        <v>2.6660702455884012E-2</v>
      </c>
      <c r="L90" s="397">
        <v>2.5619183946922877E-2</v>
      </c>
      <c r="M90" s="300">
        <f t="shared" si="79"/>
        <v>1.4010159080552731E-2</v>
      </c>
      <c r="N90" s="302">
        <f t="shared" si="80"/>
        <v>1.1479066760668356E-2</v>
      </c>
      <c r="O90" s="360">
        <v>1.2167783817670504E-2</v>
      </c>
      <c r="P90" s="361">
        <v>1.2167783817670504E-2</v>
      </c>
      <c r="Q90" s="361">
        <v>1.2167783817670504E-2</v>
      </c>
      <c r="R90" s="361">
        <v>1.9178372849965125E-2</v>
      </c>
      <c r="S90" s="361">
        <v>2.4358079611735538E-2</v>
      </c>
      <c r="T90" s="361">
        <v>2.7822202641438275E-2</v>
      </c>
      <c r="U90" s="361">
        <v>2.9474414691383944E-2</v>
      </c>
      <c r="V90" s="361">
        <v>2.8350661009308165E-2</v>
      </c>
      <c r="W90" s="361">
        <v>2.7170785433288162E-2</v>
      </c>
      <c r="X90" s="361">
        <v>2.618069659582993E-2</v>
      </c>
      <c r="Y90" s="397">
        <v>2.5619183946922877E-2</v>
      </c>
      <c r="Z90" s="300">
        <f t="shared" si="81"/>
        <v>8.6792680506114963E-3</v>
      </c>
      <c r="AA90" s="302">
        <f t="shared" si="82"/>
        <v>7.8419077424865622E-3</v>
      </c>
      <c r="AB90" s="1054">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1055">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334">
        <f t="shared" si="75"/>
        <v>0</v>
      </c>
      <c r="AE90" s="1043">
        <f t="shared" si="76"/>
        <v>1.4010159080552731E-2</v>
      </c>
      <c r="AF90" s="1043">
        <f t="shared" si="77"/>
        <v>8.6792680506114963E-3</v>
      </c>
      <c r="AG90" s="1043">
        <f t="shared" si="78"/>
        <v>2.2689427131164227E-2</v>
      </c>
      <c r="AH90" s="1280">
        <f t="shared" si="83"/>
        <v>0.61747522313199321</v>
      </c>
      <c r="AI90" s="1043">
        <f t="shared" si="84"/>
        <v>0.38252477686800684</v>
      </c>
    </row>
    <row r="91" spans="1:38" x14ac:dyDescent="0.2">
      <c r="A91" s="348">
        <v>2022</v>
      </c>
      <c r="B91" s="362">
        <v>3.4972827620437359E-2</v>
      </c>
      <c r="C91" s="363">
        <v>3.4972827620437359E-2</v>
      </c>
      <c r="D91" s="363">
        <v>3.4972827620437359E-2</v>
      </c>
      <c r="E91" s="363">
        <v>4.4115165333534802E-2</v>
      </c>
      <c r="F91" s="363">
        <v>5.7071752340819883E-2</v>
      </c>
      <c r="G91" s="363">
        <v>5.931243987981915E-2</v>
      </c>
      <c r="H91" s="363">
        <v>6.1670704768347982E-2</v>
      </c>
      <c r="I91" s="363">
        <v>6.028298738364276E-2</v>
      </c>
      <c r="J91" s="363">
        <v>6.1527909627191298E-2</v>
      </c>
      <c r="K91" s="363">
        <v>6.0670091450987826E-2</v>
      </c>
      <c r="L91" s="398">
        <v>6.105996552782457E-2</v>
      </c>
      <c r="M91" s="314">
        <f t="shared" si="79"/>
        <v>3.2836402869461635E-2</v>
      </c>
      <c r="N91" s="316">
        <f t="shared" si="80"/>
        <v>2.814879449018905E-2</v>
      </c>
      <c r="O91" s="362">
        <v>3.4972827620437359E-2</v>
      </c>
      <c r="P91" s="363">
        <v>3.4972827620437359E-2</v>
      </c>
      <c r="Q91" s="363">
        <v>3.4972827620437359E-2</v>
      </c>
      <c r="R91" s="363">
        <v>5.1089436704374887E-2</v>
      </c>
      <c r="S91" s="363">
        <v>5.7469536754545178E-2</v>
      </c>
      <c r="T91" s="363">
        <v>6.1925325710837718E-2</v>
      </c>
      <c r="U91" s="363">
        <v>6.0466109587009723E-2</v>
      </c>
      <c r="V91" s="363">
        <v>6.2037920712922315E-2</v>
      </c>
      <c r="W91" s="363">
        <v>6.0670091450987826E-2</v>
      </c>
      <c r="X91" s="363">
        <v>6.1004387398543004E-2</v>
      </c>
      <c r="Y91" s="398">
        <v>6.0477118381449313E-2</v>
      </c>
      <c r="Z91" s="314">
        <f t="shared" si="81"/>
        <v>2.056087455090307E-2</v>
      </c>
      <c r="AA91" s="316">
        <f t="shared" si="82"/>
        <v>1.9534281471437414E-2</v>
      </c>
      <c r="AB91" s="1054">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1055">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334">
        <f t="shared" si="75"/>
        <v>0</v>
      </c>
      <c r="AE91" s="1043">
        <f>SUMPRODUCT($B$74:$L$74,B91:L91)</f>
        <v>3.2836402869461635E-2</v>
      </c>
      <c r="AF91" s="1043">
        <f>SUMPRODUCT($O$74:$Y$74,O91:Y91)</f>
        <v>2.056087455090307E-2</v>
      </c>
      <c r="AG91" s="1043">
        <f>SUM(AE91:AF91)</f>
        <v>5.3397277420364708E-2</v>
      </c>
      <c r="AH91" s="1280">
        <f t="shared" si="83"/>
        <v>0.61494526417443252</v>
      </c>
      <c r="AI91" s="1043">
        <f t="shared" si="84"/>
        <v>0.38505473582556743</v>
      </c>
      <c r="AK91" s="1279"/>
      <c r="AL91" s="1279"/>
    </row>
    <row r="92" spans="1:38" x14ac:dyDescent="0.2">
      <c r="A92" s="348">
        <v>2023</v>
      </c>
      <c r="B92" s="362">
        <v>8.8992333192876569E-2</v>
      </c>
      <c r="C92" s="363">
        <v>8.8992333192876569E-2</v>
      </c>
      <c r="D92" s="363">
        <v>8.4580159339709124E-2</v>
      </c>
      <c r="E92" s="363">
        <v>9.1465903685038805E-2</v>
      </c>
      <c r="F92" s="363">
        <v>0.11621882194420498</v>
      </c>
      <c r="G92" s="363">
        <v>0.12226602071690451</v>
      </c>
      <c r="H92" s="363">
        <v>0.12636886755316795</v>
      </c>
      <c r="I92" s="363">
        <v>0.13157646525278049</v>
      </c>
      <c r="J92" s="363">
        <v>0.13184808070080414</v>
      </c>
      <c r="K92" s="363">
        <v>0.13352439015942844</v>
      </c>
      <c r="L92" s="398">
        <v>0.135252914533074</v>
      </c>
      <c r="M92" s="314">
        <f t="shared" si="79"/>
        <v>7.0007742415077207E-2</v>
      </c>
      <c r="N92" s="316">
        <f t="shared" si="80"/>
        <v>6.1687589486901617E-2</v>
      </c>
      <c r="O92" s="362">
        <v>8.8992333192876569E-2</v>
      </c>
      <c r="P92" s="363">
        <v>8.8992333192876569E-2</v>
      </c>
      <c r="Q92" s="363">
        <v>7.8645628942617979E-2</v>
      </c>
      <c r="R92" s="363">
        <v>9.8239656435112427E-2</v>
      </c>
      <c r="S92" s="363">
        <v>0.11057769988580975</v>
      </c>
      <c r="T92" s="363">
        <v>0.12564222108301479</v>
      </c>
      <c r="U92" s="363">
        <v>0.13137084756162576</v>
      </c>
      <c r="V92" s="363">
        <v>0.13157646525278049</v>
      </c>
      <c r="W92" s="363">
        <v>0.13352439015942844</v>
      </c>
      <c r="X92" s="363">
        <v>0.13468296082680303</v>
      </c>
      <c r="Y92" s="398">
        <v>0.135252914533074</v>
      </c>
      <c r="Z92" s="314">
        <f t="shared" si="81"/>
        <v>4.2705917397743723E-2</v>
      </c>
      <c r="AA92" s="316">
        <f t="shared" si="82"/>
        <v>4.1771976733416663E-2</v>
      </c>
      <c r="AB92" s="1054">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1055">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334">
        <f t="shared" si="75"/>
        <v>0</v>
      </c>
      <c r="AE92" s="1043">
        <f t="shared" ref="AE92:AE119" si="85">SUMPRODUCT($B$74:$L$74,B92:L92)</f>
        <v>7.0007742415077207E-2</v>
      </c>
      <c r="AF92" s="1043">
        <f t="shared" ref="AF92:AF119" si="86">SUMPRODUCT($O$74:$Y$74,O92:Y92)</f>
        <v>4.2705917397743723E-2</v>
      </c>
      <c r="AG92" s="1043">
        <f t="shared" ref="AG92:AG119" si="87">SUM(AE92:AF92)</f>
        <v>0.11271365981282093</v>
      </c>
      <c r="AH92" s="1280">
        <f t="shared" si="83"/>
        <v>0.62111142989533186</v>
      </c>
      <c r="AI92" s="1043">
        <f t="shared" si="84"/>
        <v>0.3788885701046682</v>
      </c>
      <c r="AK92" s="1279"/>
      <c r="AL92" s="1279"/>
    </row>
    <row r="93" spans="1:38" x14ac:dyDescent="0.2">
      <c r="A93" s="348">
        <v>2024</v>
      </c>
      <c r="B93" s="362">
        <v>3.8318438666002423E-2</v>
      </c>
      <c r="C93" s="363">
        <v>3.7710277440047499E-2</v>
      </c>
      <c r="D93" s="363">
        <v>7.7998890706658774E-2</v>
      </c>
      <c r="E93" s="363">
        <v>0.14210627647505925</v>
      </c>
      <c r="F93" s="363">
        <v>0.19242515489144901</v>
      </c>
      <c r="G93" s="363">
        <v>0.21094638524319897</v>
      </c>
      <c r="H93" s="363">
        <v>0.2306454578395013</v>
      </c>
      <c r="I93" s="363">
        <v>0.24083235527560634</v>
      </c>
      <c r="J93" s="363">
        <v>0.242043240192681</v>
      </c>
      <c r="K93" s="363">
        <v>0.24552738051504269</v>
      </c>
      <c r="L93" s="398">
        <v>0.24809013858676535</v>
      </c>
      <c r="M93" s="314">
        <f t="shared" si="79"/>
        <v>0.11278485495358923</v>
      </c>
      <c r="N93" s="316">
        <f t="shared" si="80"/>
        <v>8.451652576601873E-2</v>
      </c>
      <c r="O93" s="362">
        <v>3.8318438666002423E-2</v>
      </c>
      <c r="P93" s="363">
        <v>3.5763323823440586E-2</v>
      </c>
      <c r="Q93" s="363">
        <v>9.521501308222291E-2</v>
      </c>
      <c r="R93" s="363">
        <v>0.15896028042387006</v>
      </c>
      <c r="S93" s="363">
        <v>0.20040487343659177</v>
      </c>
      <c r="T93" s="363">
        <v>0.22459207666776035</v>
      </c>
      <c r="U93" s="363">
        <v>0.22699365285109202</v>
      </c>
      <c r="V93" s="363">
        <v>0.24083235527560634</v>
      </c>
      <c r="W93" s="363">
        <v>0.24791844050180742</v>
      </c>
      <c r="X93" s="363">
        <v>0.24552738051504269</v>
      </c>
      <c r="Y93" s="398">
        <v>0.24960385078531089</v>
      </c>
      <c r="Z93" s="314">
        <f t="shared" si="81"/>
        <v>6.9208454481466369E-2</v>
      </c>
      <c r="AA93" s="316">
        <f t="shared" si="82"/>
        <v>5.6998564546568181E-2</v>
      </c>
      <c r="AB93" s="1054">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1055">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334">
        <f t="shared" si="75"/>
        <v>0</v>
      </c>
      <c r="AE93" s="1043">
        <f t="shared" si="85"/>
        <v>0.11278485495358923</v>
      </c>
      <c r="AF93" s="1043">
        <f t="shared" si="86"/>
        <v>6.9208454481466369E-2</v>
      </c>
      <c r="AG93" s="1043">
        <f t="shared" si="87"/>
        <v>0.18199330943505559</v>
      </c>
      <c r="AH93" s="1280">
        <f t="shared" si="83"/>
        <v>0.61971978697291918</v>
      </c>
      <c r="AI93" s="1043">
        <f t="shared" si="84"/>
        <v>0.38028021302708076</v>
      </c>
      <c r="AK93" s="1279"/>
      <c r="AL93" s="1279"/>
    </row>
    <row r="94" spans="1:38" ht="13.5" thickBot="1" x14ac:dyDescent="0.25">
      <c r="A94" s="346">
        <v>2025</v>
      </c>
      <c r="B94" s="364">
        <v>0</v>
      </c>
      <c r="C94" s="365">
        <v>2.3718558808053969E-3</v>
      </c>
      <c r="D94" s="365">
        <v>8.1615508538571829E-2</v>
      </c>
      <c r="E94" s="365">
        <v>0.18300595074060783</v>
      </c>
      <c r="F94" s="365">
        <v>0.25543820186789584</v>
      </c>
      <c r="G94" s="365">
        <v>0.30174532309073354</v>
      </c>
      <c r="H94" s="365">
        <v>0.31698145534931366</v>
      </c>
      <c r="I94" s="365">
        <v>0.3352205173837946</v>
      </c>
      <c r="J94" s="365">
        <v>0.35328669686666858</v>
      </c>
      <c r="K94" s="365">
        <v>0.3583720909294198</v>
      </c>
      <c r="L94" s="399">
        <v>0.35990599677262902</v>
      </c>
      <c r="M94" s="328">
        <f t="shared" si="79"/>
        <v>0.15191245605970552</v>
      </c>
      <c r="N94" s="330">
        <f t="shared" si="80"/>
        <v>0.10652418497763588</v>
      </c>
      <c r="O94" s="364">
        <v>0</v>
      </c>
      <c r="P94" s="365">
        <v>7.2745382979287777E-3</v>
      </c>
      <c r="Q94" s="365">
        <v>0.10572948054658697</v>
      </c>
      <c r="R94" s="365">
        <v>0.20673071974188201</v>
      </c>
      <c r="S94" s="365">
        <v>0.26745555303207258</v>
      </c>
      <c r="T94" s="365">
        <v>0.31226518116618912</v>
      </c>
      <c r="U94" s="365">
        <v>0.33132045586478637</v>
      </c>
      <c r="V94" s="365">
        <v>0.3352205173837946</v>
      </c>
      <c r="W94" s="365">
        <v>0.34985146524594402</v>
      </c>
      <c r="X94" s="365">
        <v>0.35551759766486862</v>
      </c>
      <c r="Y94" s="399">
        <v>0.35990599677262902</v>
      </c>
      <c r="Z94" s="328">
        <f t="shared" si="81"/>
        <v>9.2704239716050088E-2</v>
      </c>
      <c r="AA94" s="330">
        <f t="shared" si="82"/>
        <v>7.103522887111996E-2</v>
      </c>
      <c r="AB94" s="1054">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1055">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334">
        <f t="shared" si="75"/>
        <v>0</v>
      </c>
      <c r="AE94" s="1043">
        <f t="shared" si="85"/>
        <v>0.15191245605970552</v>
      </c>
      <c r="AF94" s="1043">
        <f t="shared" si="86"/>
        <v>9.2704239716050088E-2</v>
      </c>
      <c r="AG94" s="1043">
        <f t="shared" si="87"/>
        <v>0.24461669577575562</v>
      </c>
      <c r="AH94" s="1280">
        <f t="shared" si="83"/>
        <v>0.62102243503021681</v>
      </c>
      <c r="AI94" s="1043">
        <f t="shared" si="84"/>
        <v>0.37897756496978308</v>
      </c>
      <c r="AK94" s="1279"/>
      <c r="AL94" s="1279"/>
    </row>
    <row r="95" spans="1:38" x14ac:dyDescent="0.2">
      <c r="A95" s="347">
        <v>2026</v>
      </c>
      <c r="B95" s="360">
        <v>0</v>
      </c>
      <c r="C95" s="361">
        <v>8.7613910207504503E-3</v>
      </c>
      <c r="D95" s="361">
        <v>0.13814045979495879</v>
      </c>
      <c r="E95" s="361">
        <v>0.26357787518005377</v>
      </c>
      <c r="F95" s="361">
        <v>0.33631249479563424</v>
      </c>
      <c r="G95" s="361">
        <v>0.36948777215995349</v>
      </c>
      <c r="H95" s="361">
        <v>0.40905300557086638</v>
      </c>
      <c r="I95" s="361">
        <v>0.41315504965973915</v>
      </c>
      <c r="J95" s="361">
        <v>0.43161519795130943</v>
      </c>
      <c r="K95" s="361">
        <v>0.42817716494024871</v>
      </c>
      <c r="L95" s="397">
        <v>0.43878102464503721</v>
      </c>
      <c r="M95" s="300">
        <f t="shared" si="79"/>
        <v>0.19660549851692538</v>
      </c>
      <c r="N95" s="302">
        <f t="shared" si="80"/>
        <v>0.14179141920456609</v>
      </c>
      <c r="O95" s="360">
        <v>0</v>
      </c>
      <c r="P95" s="361">
        <v>1.8330215476825021E-2</v>
      </c>
      <c r="Q95" s="361">
        <v>0.17375999951663532</v>
      </c>
      <c r="R95" s="361">
        <v>0.3009129553648644</v>
      </c>
      <c r="S95" s="361">
        <v>0.35011733895913771</v>
      </c>
      <c r="T95" s="361">
        <v>0.38176512718800676</v>
      </c>
      <c r="U95" s="361">
        <v>0.40373183129601292</v>
      </c>
      <c r="V95" s="361">
        <v>0.41315504965973915</v>
      </c>
      <c r="W95" s="361">
        <v>0.42817716494024871</v>
      </c>
      <c r="X95" s="361">
        <v>0.43346245124092414</v>
      </c>
      <c r="Y95" s="397">
        <v>0.43700386367810662</v>
      </c>
      <c r="Z95" s="300">
        <f t="shared" si="81"/>
        <v>0.12060743077374086</v>
      </c>
      <c r="AA95" s="302">
        <f t="shared" si="82"/>
        <v>9.5361489324263665E-2</v>
      </c>
      <c r="AB95" s="1054">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1055">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334">
        <f t="shared" si="75"/>
        <v>0</v>
      </c>
      <c r="AE95" s="1043">
        <f t="shared" si="85"/>
        <v>0.19660549851692538</v>
      </c>
      <c r="AF95" s="1043">
        <f t="shared" si="86"/>
        <v>0.12060743077374086</v>
      </c>
      <c r="AG95" s="1043">
        <f t="shared" si="87"/>
        <v>0.31721292929066625</v>
      </c>
      <c r="AH95" s="1280">
        <f t="shared" si="83"/>
        <v>0.61979030601483853</v>
      </c>
      <c r="AI95" s="1043">
        <f t="shared" si="84"/>
        <v>0.38020969398516141</v>
      </c>
      <c r="AK95" s="1279"/>
      <c r="AL95" s="1279"/>
    </row>
    <row r="96" spans="1:38" x14ac:dyDescent="0.2">
      <c r="A96" s="348">
        <v>2027</v>
      </c>
      <c r="B96" s="362">
        <v>0</v>
      </c>
      <c r="C96" s="363">
        <v>1.8736997690941719E-2</v>
      </c>
      <c r="D96" s="363">
        <v>0.1810115927116579</v>
      </c>
      <c r="E96" s="363">
        <v>0.316753962959477</v>
      </c>
      <c r="F96" s="363">
        <v>0.39288062676509716</v>
      </c>
      <c r="G96" s="363">
        <v>0.43138808223094832</v>
      </c>
      <c r="H96" s="363">
        <v>0.45180315388209713</v>
      </c>
      <c r="I96" s="363">
        <v>0.45551536101314483</v>
      </c>
      <c r="J96" s="363">
        <v>0.46289280718888204</v>
      </c>
      <c r="K96" s="363">
        <v>0.46860661262467168</v>
      </c>
      <c r="L96" s="398">
        <v>0.47243515482329568</v>
      </c>
      <c r="M96" s="314">
        <f t="shared" si="79"/>
        <v>0.22465902400521531</v>
      </c>
      <c r="N96" s="316">
        <f t="shared" si="80"/>
        <v>0.1654658631912185</v>
      </c>
      <c r="O96" s="362">
        <v>0</v>
      </c>
      <c r="P96" s="363">
        <v>3.8460337155232983E-2</v>
      </c>
      <c r="Q96" s="363">
        <v>0.23097587130586153</v>
      </c>
      <c r="R96" s="363">
        <v>0.32446217465844052</v>
      </c>
      <c r="S96" s="363">
        <v>0.40657771535581388</v>
      </c>
      <c r="T96" s="363">
        <v>0.44221836716994162</v>
      </c>
      <c r="U96" s="363">
        <v>0.44665273256210825</v>
      </c>
      <c r="V96" s="363">
        <v>0.45551536101314483</v>
      </c>
      <c r="W96" s="363">
        <v>0.46860661262467168</v>
      </c>
      <c r="X96" s="363">
        <v>0.4743564911241705</v>
      </c>
      <c r="Y96" s="398">
        <v>0.47476296782144234</v>
      </c>
      <c r="Z96" s="314">
        <f t="shared" si="81"/>
        <v>0.13754174107662573</v>
      </c>
      <c r="AA96" s="316">
        <f t="shared" si="82"/>
        <v>0.11065792910313378</v>
      </c>
      <c r="AB96" s="1054">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1055">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334">
        <f t="shared" si="75"/>
        <v>0</v>
      </c>
      <c r="AE96" s="1043">
        <f t="shared" si="85"/>
        <v>0.22465902400521531</v>
      </c>
      <c r="AF96" s="1043">
        <f t="shared" si="86"/>
        <v>0.13754174107662573</v>
      </c>
      <c r="AG96" s="1043">
        <f t="shared" si="87"/>
        <v>0.36220076508184107</v>
      </c>
      <c r="AH96" s="1280">
        <f t="shared" si="83"/>
        <v>0.62026104211693889</v>
      </c>
      <c r="AI96" s="1043">
        <f t="shared" si="84"/>
        <v>0.37973895788306106</v>
      </c>
      <c r="AK96" s="1279"/>
      <c r="AL96" s="1279"/>
    </row>
    <row r="97" spans="1:38" x14ac:dyDescent="0.2">
      <c r="A97" s="348">
        <v>2028</v>
      </c>
      <c r="B97" s="362">
        <v>0</v>
      </c>
      <c r="C97" s="363">
        <v>2.9756309857030198E-2</v>
      </c>
      <c r="D97" s="363">
        <v>0.20772078373489347</v>
      </c>
      <c r="E97" s="363">
        <v>0.33435846787234014</v>
      </c>
      <c r="F97" s="363">
        <v>0.41897893943188869</v>
      </c>
      <c r="G97" s="363">
        <v>0.43807115879339892</v>
      </c>
      <c r="H97" s="363">
        <v>0.46027591193849393</v>
      </c>
      <c r="I97" s="363">
        <v>0.47701131869602026</v>
      </c>
      <c r="J97" s="363">
        <v>0.48289939866479442</v>
      </c>
      <c r="K97" s="363">
        <v>0.48882474682106031</v>
      </c>
      <c r="L97" s="398">
        <v>0.48844324907275155</v>
      </c>
      <c r="M97" s="314">
        <f t="shared" si="79"/>
        <v>0.23553566443645188</v>
      </c>
      <c r="N97" s="316">
        <f t="shared" si="80"/>
        <v>0.1754807550856004</v>
      </c>
      <c r="O97" s="362">
        <v>0</v>
      </c>
      <c r="P97" s="363">
        <v>5.2333048327860253E-2</v>
      </c>
      <c r="Q97" s="363">
        <v>0.23769517184120151</v>
      </c>
      <c r="R97" s="363">
        <v>0.37467013927546677</v>
      </c>
      <c r="S97" s="363">
        <v>0.43225418445732616</v>
      </c>
      <c r="T97" s="363">
        <v>0.44977796345805865</v>
      </c>
      <c r="U97" s="363">
        <v>0.46940885593521653</v>
      </c>
      <c r="V97" s="363">
        <v>0.47701131869602026</v>
      </c>
      <c r="W97" s="363">
        <v>0.48289939866479442</v>
      </c>
      <c r="X97" s="363">
        <v>0.48684471372367322</v>
      </c>
      <c r="Y97" s="398">
        <v>0.48844324907275155</v>
      </c>
      <c r="Z97" s="314">
        <f t="shared" si="81"/>
        <v>0.14612270646597705</v>
      </c>
      <c r="AA97" s="316">
        <f t="shared" si="82"/>
        <v>0.11880864190393356</v>
      </c>
      <c r="AB97" s="1054">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1055">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334">
        <f t="shared" si="75"/>
        <v>0</v>
      </c>
      <c r="AE97" s="1043">
        <f t="shared" si="85"/>
        <v>0.23553566443645188</v>
      </c>
      <c r="AF97" s="1043">
        <f t="shared" si="86"/>
        <v>0.14612270646597705</v>
      </c>
      <c r="AG97" s="1043">
        <f t="shared" si="87"/>
        <v>0.38165837090242893</v>
      </c>
      <c r="AH97" s="1280">
        <f t="shared" si="83"/>
        <v>0.61713742549267092</v>
      </c>
      <c r="AI97" s="1043">
        <f t="shared" si="84"/>
        <v>0.38286257450732913</v>
      </c>
      <c r="AK97" s="1279"/>
      <c r="AL97" s="1279"/>
    </row>
    <row r="98" spans="1:38" x14ac:dyDescent="0.2">
      <c r="A98" s="348">
        <v>2029</v>
      </c>
      <c r="B98" s="362">
        <v>0</v>
      </c>
      <c r="C98" s="363">
        <v>4.7478314375732092E-2</v>
      </c>
      <c r="D98" s="363">
        <v>0.24033188399265032</v>
      </c>
      <c r="E98" s="363">
        <v>0.3705841179661602</v>
      </c>
      <c r="F98" s="363">
        <v>0.43002377502490985</v>
      </c>
      <c r="G98" s="363">
        <v>0.45476727397925015</v>
      </c>
      <c r="H98" s="363">
        <v>0.47461592861092472</v>
      </c>
      <c r="I98" s="363">
        <v>0.48230272419930353</v>
      </c>
      <c r="J98" s="363">
        <v>0.4882561196386534</v>
      </c>
      <c r="K98" s="363">
        <v>0.49224519940708222</v>
      </c>
      <c r="L98" s="398">
        <v>0.49386146703716044</v>
      </c>
      <c r="M98" s="314">
        <f t="shared" si="79"/>
        <v>0.24571999678151157</v>
      </c>
      <c r="N98" s="316">
        <f t="shared" si="80"/>
        <v>0.18652446473506229</v>
      </c>
      <c r="O98" s="362">
        <v>0</v>
      </c>
      <c r="P98" s="363">
        <v>7.9775838796690826E-2</v>
      </c>
      <c r="Q98" s="363">
        <v>0.27217401864859697</v>
      </c>
      <c r="R98" s="363">
        <v>0.38633798271123077</v>
      </c>
      <c r="S98" s="363">
        <v>0.44947760061429209</v>
      </c>
      <c r="T98" s="363">
        <v>0.46538167441834005</v>
      </c>
      <c r="U98" s="363">
        <v>0.48617591493935913</v>
      </c>
      <c r="V98" s="363">
        <v>0.49125024265999473</v>
      </c>
      <c r="W98" s="363">
        <v>0.49224519940708222</v>
      </c>
      <c r="X98" s="363">
        <v>0.49467070108802685</v>
      </c>
      <c r="Y98" s="398">
        <v>0.49386146703716044</v>
      </c>
      <c r="Z98" s="314">
        <f t="shared" si="81"/>
        <v>0.15277587324516187</v>
      </c>
      <c r="AA98" s="316">
        <f t="shared" si="82"/>
        <v>0.1262340234120217</v>
      </c>
      <c r="AB98" s="1054">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1055">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334">
        <f t="shared" si="75"/>
        <v>0</v>
      </c>
      <c r="AE98" s="1043">
        <f t="shared" si="85"/>
        <v>0.24571999678151157</v>
      </c>
      <c r="AF98" s="1043">
        <f t="shared" si="86"/>
        <v>0.15277587324516187</v>
      </c>
      <c r="AG98" s="1043">
        <f t="shared" si="87"/>
        <v>0.39849587002667342</v>
      </c>
      <c r="AH98" s="1280">
        <f t="shared" si="83"/>
        <v>0.61661867854506058</v>
      </c>
      <c r="AI98" s="1043">
        <f t="shared" si="84"/>
        <v>0.38338132145493947</v>
      </c>
      <c r="AK98" s="1279"/>
      <c r="AL98" s="1279"/>
    </row>
    <row r="99" spans="1:38" ht="13.5" thickBot="1" x14ac:dyDescent="0.25">
      <c r="A99" s="346">
        <v>2030</v>
      </c>
      <c r="B99" s="364">
        <v>0</v>
      </c>
      <c r="C99" s="365">
        <v>5.6061627541480079E-2</v>
      </c>
      <c r="D99" s="365">
        <v>0.27321762141987355</v>
      </c>
      <c r="E99" s="365">
        <v>0.38781932685792314</v>
      </c>
      <c r="F99" s="365">
        <v>0.4446289462017991</v>
      </c>
      <c r="G99" s="365">
        <v>0.46716609751476856</v>
      </c>
      <c r="H99" s="365">
        <v>0.4841520280456727</v>
      </c>
      <c r="I99" s="365">
        <v>0.49012825071889982</v>
      </c>
      <c r="J99" s="365">
        <v>0.49413262590281998</v>
      </c>
      <c r="K99" s="365">
        <v>0.49413262590281998</v>
      </c>
      <c r="L99" s="399">
        <v>0.49575509082309605</v>
      </c>
      <c r="M99" s="328">
        <f t="shared" si="79"/>
        <v>0.25377350612440297</v>
      </c>
      <c r="N99" s="330">
        <f t="shared" si="80"/>
        <v>0.19498554709159036</v>
      </c>
      <c r="O99" s="364">
        <v>0</v>
      </c>
      <c r="P99" s="365">
        <v>9.2545853797549121E-2</v>
      </c>
      <c r="Q99" s="365">
        <v>0.31465889209208747</v>
      </c>
      <c r="R99" s="365">
        <v>0.40312595955856023</v>
      </c>
      <c r="S99" s="365">
        <v>0.4446289462017991</v>
      </c>
      <c r="T99" s="365">
        <v>0.47643575880944866</v>
      </c>
      <c r="U99" s="365">
        <v>0.4841520280456727</v>
      </c>
      <c r="V99" s="365">
        <v>0.49012825071889982</v>
      </c>
      <c r="W99" s="365">
        <v>0.49413262590281998</v>
      </c>
      <c r="X99" s="365">
        <v>0.49575509082309605</v>
      </c>
      <c r="Y99" s="399">
        <v>0.49575509082309605</v>
      </c>
      <c r="Z99" s="328">
        <f t="shared" si="81"/>
        <v>0.15606134317810666</v>
      </c>
      <c r="AA99" s="330">
        <f t="shared" si="82"/>
        <v>0.13086503155928603</v>
      </c>
      <c r="AB99" s="1054">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1055">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334">
        <f t="shared" si="75"/>
        <v>0</v>
      </c>
      <c r="AE99" s="1043">
        <f t="shared" si="85"/>
        <v>0.25377350612440297</v>
      </c>
      <c r="AF99" s="1043">
        <f t="shared" si="86"/>
        <v>0.15606134317810666</v>
      </c>
      <c r="AG99" s="1043">
        <f t="shared" si="87"/>
        <v>0.40983484930250963</v>
      </c>
      <c r="AH99" s="1280">
        <f t="shared" si="83"/>
        <v>0.61920919257182594</v>
      </c>
      <c r="AI99" s="1043">
        <f t="shared" si="84"/>
        <v>0.38079080742817401</v>
      </c>
      <c r="AK99" s="1279"/>
      <c r="AL99" s="1279"/>
    </row>
    <row r="100" spans="1:38" x14ac:dyDescent="0.2">
      <c r="A100" s="347">
        <v>2031</v>
      </c>
      <c r="B100" s="360">
        <v>0</v>
      </c>
      <c r="C100" s="361">
        <v>6.2358716017063887E-2</v>
      </c>
      <c r="D100" s="361">
        <v>0.27364532795415203</v>
      </c>
      <c r="E100" s="361">
        <v>0.38842643579677771</v>
      </c>
      <c r="F100" s="361">
        <v>0.44532498734523474</v>
      </c>
      <c r="G100" s="361">
        <v>0.46789741927747935</v>
      </c>
      <c r="H100" s="361">
        <v>0.48490994030954193</v>
      </c>
      <c r="I100" s="361">
        <v>0.49089551841699902</v>
      </c>
      <c r="J100" s="361">
        <v>0.49490616222086747</v>
      </c>
      <c r="K100" s="361">
        <v>0.49490616222086747</v>
      </c>
      <c r="L100" s="397">
        <v>0.49513678340750311</v>
      </c>
      <c r="M100" s="300">
        <f t="shared" si="79"/>
        <v>0.25434244046462506</v>
      </c>
      <c r="N100" s="302">
        <f t="shared" si="80"/>
        <v>0.1958318297229244</v>
      </c>
      <c r="O100" s="360">
        <v>0</v>
      </c>
      <c r="P100" s="361">
        <v>9.2690729029914765E-2</v>
      </c>
      <c r="Q100" s="361">
        <v>0.30663521032836782</v>
      </c>
      <c r="R100" s="361">
        <v>0.40375703015402348</v>
      </c>
      <c r="S100" s="361">
        <v>0.44532498734523474</v>
      </c>
      <c r="T100" s="361">
        <v>0.47718159169587721</v>
      </c>
      <c r="U100" s="361">
        <v>0.48490994030954193</v>
      </c>
      <c r="V100" s="361">
        <v>0.49089551841699902</v>
      </c>
      <c r="W100" s="361">
        <v>0.49484344985239875</v>
      </c>
      <c r="X100" s="361">
        <v>0.49590118259792132</v>
      </c>
      <c r="Y100" s="397">
        <v>0.49073012884484857</v>
      </c>
      <c r="Z100" s="300">
        <f t="shared" si="81"/>
        <v>0.15585686086472192</v>
      </c>
      <c r="AA100" s="302">
        <f t="shared" si="82"/>
        <v>0.13050680609237542</v>
      </c>
      <c r="AB100" s="1054">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1055">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334">
        <f t="shared" si="75"/>
        <v>0</v>
      </c>
      <c r="AE100" s="1043">
        <f t="shared" si="85"/>
        <v>0.25434244046462506</v>
      </c>
      <c r="AF100" s="1043">
        <f t="shared" si="86"/>
        <v>0.15585686086472192</v>
      </c>
      <c r="AG100" s="1043">
        <f t="shared" si="87"/>
        <v>0.41019930132934701</v>
      </c>
      <c r="AH100" s="1280">
        <f t="shared" si="83"/>
        <v>0.62004601090340417</v>
      </c>
      <c r="AI100" s="1043">
        <f t="shared" si="84"/>
        <v>0.37995398909659578</v>
      </c>
      <c r="AK100" s="1279"/>
      <c r="AL100" s="1279"/>
    </row>
    <row r="101" spans="1:38" x14ac:dyDescent="0.2">
      <c r="A101" s="348">
        <v>2032</v>
      </c>
      <c r="B101" s="362">
        <v>0</v>
      </c>
      <c r="C101" s="363">
        <v>6.2394648732764041E-2</v>
      </c>
      <c r="D101" s="363">
        <v>0.2738030095165716</v>
      </c>
      <c r="E101" s="363">
        <v>0.38865025722190277</v>
      </c>
      <c r="F101" s="363">
        <v>0.44558159519713586</v>
      </c>
      <c r="G101" s="363">
        <v>0.46816703395234099</v>
      </c>
      <c r="H101" s="363">
        <v>0.48518935804194929</v>
      </c>
      <c r="I101" s="363">
        <v>0.49117838519534845</v>
      </c>
      <c r="J101" s="363">
        <v>0.49454752936710156</v>
      </c>
      <c r="K101" s="363">
        <v>0.49286000885891251</v>
      </c>
      <c r="L101" s="398">
        <v>0.47285827551459308</v>
      </c>
      <c r="M101" s="314">
        <f t="shared" si="79"/>
        <v>0.25369524684430045</v>
      </c>
      <c r="N101" s="316">
        <f t="shared" si="80"/>
        <v>0.19566698205801972</v>
      </c>
      <c r="O101" s="362">
        <v>0</v>
      </c>
      <c r="P101" s="363">
        <v>0.10180616650573285</v>
      </c>
      <c r="Q101" s="363">
        <v>0.30681190151991466</v>
      </c>
      <c r="R101" s="363">
        <v>0.40398968546675462</v>
      </c>
      <c r="S101" s="363">
        <v>0.44558159519713586</v>
      </c>
      <c r="T101" s="363">
        <v>0.47745655615260307</v>
      </c>
      <c r="U101" s="363">
        <v>0.48518935804194929</v>
      </c>
      <c r="V101" s="363">
        <v>0.49085000703354181</v>
      </c>
      <c r="W101" s="363">
        <v>0.48844179460400217</v>
      </c>
      <c r="X101" s="363">
        <v>0.48115310250895404</v>
      </c>
      <c r="Y101" s="398">
        <v>0.45846955950584495</v>
      </c>
      <c r="Z101" s="314">
        <f t="shared" si="81"/>
        <v>0.15552605181691087</v>
      </c>
      <c r="AA101" s="316">
        <f t="shared" si="82"/>
        <v>0.13094137069985637</v>
      </c>
      <c r="AB101" s="1054">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1055">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334">
        <f t="shared" si="75"/>
        <v>0</v>
      </c>
      <c r="AE101" s="1043">
        <f t="shared" si="85"/>
        <v>0.25369524684430045</v>
      </c>
      <c r="AF101" s="1043">
        <f t="shared" si="86"/>
        <v>0.15552605181691087</v>
      </c>
      <c r="AG101" s="1043">
        <f t="shared" si="87"/>
        <v>0.40922129866121132</v>
      </c>
      <c r="AH101" s="1280">
        <f t="shared" si="83"/>
        <v>0.61994634119552816</v>
      </c>
      <c r="AI101" s="1043">
        <f t="shared" si="84"/>
        <v>0.38005365880447184</v>
      </c>
      <c r="AK101" s="1279"/>
      <c r="AL101" s="1279"/>
    </row>
    <row r="102" spans="1:38" x14ac:dyDescent="0.2">
      <c r="A102" s="348">
        <v>2033</v>
      </c>
      <c r="B102" s="362">
        <v>0</v>
      </c>
      <c r="C102" s="363">
        <v>6.9149710463863798E-2</v>
      </c>
      <c r="D102" s="363">
        <v>0.27386106305353325</v>
      </c>
      <c r="E102" s="363">
        <v>0.38873266143693519</v>
      </c>
      <c r="F102" s="363">
        <v>0.44567607037347462</v>
      </c>
      <c r="G102" s="363">
        <v>0.46826629784377061</v>
      </c>
      <c r="H102" s="363">
        <v>0.48512693331539247</v>
      </c>
      <c r="I102" s="363">
        <v>0.48777223076492449</v>
      </c>
      <c r="J102" s="363">
        <v>0.47933354085277269</v>
      </c>
      <c r="K102" s="363">
        <v>0.46429382961480775</v>
      </c>
      <c r="L102" s="398">
        <v>0.42996666763793351</v>
      </c>
      <c r="M102" s="314">
        <f t="shared" si="79"/>
        <v>0.25138728383773967</v>
      </c>
      <c r="N102" s="316">
        <f t="shared" si="80"/>
        <v>0.1952908056488826</v>
      </c>
      <c r="O102" s="362">
        <v>0</v>
      </c>
      <c r="P102" s="363">
        <v>0.10182775212694496</v>
      </c>
      <c r="Q102" s="363">
        <v>0.30687695382192037</v>
      </c>
      <c r="R102" s="363">
        <v>0.4040753420494882</v>
      </c>
      <c r="S102" s="363">
        <v>0.45758610506725833</v>
      </c>
      <c r="T102" s="363">
        <v>0.47741993757464696</v>
      </c>
      <c r="U102" s="363">
        <v>0.48301142714360679</v>
      </c>
      <c r="V102" s="363">
        <v>0.48126715188447555</v>
      </c>
      <c r="W102" s="363">
        <v>0.45625841374554033</v>
      </c>
      <c r="X102" s="363">
        <v>0.44286499098407789</v>
      </c>
      <c r="Y102" s="398">
        <v>0.4160855094764393</v>
      </c>
      <c r="Z102" s="314">
        <f t="shared" si="81"/>
        <v>0.15506983189201731</v>
      </c>
      <c r="AA102" s="316">
        <f t="shared" si="82"/>
        <v>0.13123763577662942</v>
      </c>
      <c r="AB102" s="1054">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1055">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334">
        <f>AB102*AH102+AC102*AI102</f>
        <v>0</v>
      </c>
      <c r="AE102" s="1043">
        <f t="shared" si="85"/>
        <v>0.25138728383773967</v>
      </c>
      <c r="AF102" s="1043">
        <f t="shared" si="86"/>
        <v>0.15506983189201731</v>
      </c>
      <c r="AG102" s="1043">
        <f t="shared" si="87"/>
        <v>0.40645711572975696</v>
      </c>
      <c r="AH102" s="1280">
        <f t="shared" si="83"/>
        <v>0.61848415025628611</v>
      </c>
      <c r="AI102" s="1043">
        <f t="shared" si="84"/>
        <v>0.38151584974371394</v>
      </c>
      <c r="AK102" s="1279"/>
      <c r="AL102" s="1279"/>
    </row>
    <row r="103" spans="1:38" x14ac:dyDescent="0.2">
      <c r="A103" s="348">
        <v>2034</v>
      </c>
      <c r="B103" s="362">
        <v>0</v>
      </c>
      <c r="C103" s="363">
        <v>6.9155104579194174E-2</v>
      </c>
      <c r="D103" s="363">
        <v>0.27388242595077034</v>
      </c>
      <c r="E103" s="363">
        <v>0.38876298504631002</v>
      </c>
      <c r="F103" s="363">
        <v>0.44571083592936006</v>
      </c>
      <c r="G103" s="363">
        <v>0.4680623806556124</v>
      </c>
      <c r="H103" s="363">
        <v>0.47832960191218926</v>
      </c>
      <c r="I103" s="363">
        <v>0.46391977305202214</v>
      </c>
      <c r="J103" s="363">
        <v>0.44449993795527415</v>
      </c>
      <c r="K103" s="363">
        <v>0.42437259839367891</v>
      </c>
      <c r="L103" s="398">
        <v>0.39081060165159054</v>
      </c>
      <c r="M103" s="314">
        <f t="shared" si="79"/>
        <v>0.24619173443107625</v>
      </c>
      <c r="N103" s="316">
        <f t="shared" si="80"/>
        <v>0.19292031451936986</v>
      </c>
      <c r="O103" s="362">
        <v>0</v>
      </c>
      <c r="P103" s="363">
        <v>0.10183569533646995</v>
      </c>
      <c r="Q103" s="363">
        <v>0.30690089216772176</v>
      </c>
      <c r="R103" s="363">
        <v>0.40410686248511346</v>
      </c>
      <c r="S103" s="363">
        <v>0.45757653545113186</v>
      </c>
      <c r="T103" s="363">
        <v>0.47144852188135494</v>
      </c>
      <c r="U103" s="363">
        <v>0.46516404514489301</v>
      </c>
      <c r="V103" s="363">
        <v>0.44813328676537184</v>
      </c>
      <c r="W103" s="363">
        <v>0.41809403763735292</v>
      </c>
      <c r="X103" s="363">
        <v>0.40526331009934957</v>
      </c>
      <c r="Y103" s="398">
        <v>0.38147800814763627</v>
      </c>
      <c r="Z103" s="314">
        <f t="shared" si="81"/>
        <v>0.15208474540532088</v>
      </c>
      <c r="AA103" s="316">
        <f t="shared" si="82"/>
        <v>0.12971161565745415</v>
      </c>
      <c r="AB103" s="1054">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1055">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334">
        <f t="shared" ref="AD103:AD119" si="88">AB103*AH103+AC103*AI103</f>
        <v>0</v>
      </c>
      <c r="AE103" s="1043">
        <f t="shared" si="85"/>
        <v>0.24619173443107625</v>
      </c>
      <c r="AF103" s="1043">
        <f t="shared" si="86"/>
        <v>0.15208474540532088</v>
      </c>
      <c r="AG103" s="1043">
        <f t="shared" si="87"/>
        <v>0.39827647983639713</v>
      </c>
      <c r="AH103" s="1280">
        <f t="shared" si="83"/>
        <v>0.61814278998399852</v>
      </c>
      <c r="AI103" s="1043">
        <f t="shared" si="84"/>
        <v>0.38185721001600148</v>
      </c>
      <c r="AK103" s="1279"/>
      <c r="AL103" s="1279"/>
    </row>
    <row r="104" spans="1:38" ht="13.5" thickBot="1" x14ac:dyDescent="0.25">
      <c r="A104" s="346">
        <v>2035</v>
      </c>
      <c r="B104" s="364">
        <v>0</v>
      </c>
      <c r="C104" s="365">
        <v>6.9157089175073877E-2</v>
      </c>
      <c r="D104" s="365">
        <v>0.29031888808094625</v>
      </c>
      <c r="E104" s="365">
        <v>0.41193730601297357</v>
      </c>
      <c r="F104" s="365">
        <v>0.44543248330197915</v>
      </c>
      <c r="G104" s="365">
        <v>0.45797668856939505</v>
      </c>
      <c r="H104" s="365">
        <v>0.44514809425579016</v>
      </c>
      <c r="I104" s="365">
        <v>0.42251779033936454</v>
      </c>
      <c r="J104" s="365">
        <v>0.40251390710676799</v>
      </c>
      <c r="K104" s="365">
        <v>0.38473714006407106</v>
      </c>
      <c r="L104" s="399">
        <v>0.36691423144225649</v>
      </c>
      <c r="M104" s="328">
        <f t="shared" si="79"/>
        <v>0.24002795583733685</v>
      </c>
      <c r="N104" s="330">
        <f t="shared" si="80"/>
        <v>0.19178494083141268</v>
      </c>
      <c r="O104" s="364">
        <v>0</v>
      </c>
      <c r="P104" s="365">
        <v>0.11658540737211372</v>
      </c>
      <c r="Q104" s="365">
        <v>0.30690969953269909</v>
      </c>
      <c r="R104" s="365">
        <v>0.41881887561649561</v>
      </c>
      <c r="S104" s="365">
        <v>0.45285516835969686</v>
      </c>
      <c r="T104" s="365">
        <v>0.44403297533945751</v>
      </c>
      <c r="U104" s="365">
        <v>0.42554719068824642</v>
      </c>
      <c r="V104" s="365">
        <v>0.40835654963366097</v>
      </c>
      <c r="W104" s="365">
        <v>0.38473714006407106</v>
      </c>
      <c r="X104" s="365">
        <v>0.37553778454259357</v>
      </c>
      <c r="Y104" s="399">
        <v>0.3590532712934047</v>
      </c>
      <c r="Z104" s="328">
        <f t="shared" si="81"/>
        <v>0.14800039716101782</v>
      </c>
      <c r="AA104" s="330">
        <f t="shared" si="82"/>
        <v>0.12845470577017856</v>
      </c>
      <c r="AB104" s="1054">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1055">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334">
        <f t="shared" si="88"/>
        <v>0</v>
      </c>
      <c r="AE104" s="1043">
        <f t="shared" si="85"/>
        <v>0.24002795583733685</v>
      </c>
      <c r="AF104" s="1043">
        <f t="shared" si="86"/>
        <v>0.14800039716101782</v>
      </c>
      <c r="AG104" s="1043">
        <f t="shared" si="87"/>
        <v>0.3880283529983547</v>
      </c>
      <c r="AH104" s="1280">
        <f t="shared" si="83"/>
        <v>0.61858354932726944</v>
      </c>
      <c r="AI104" s="1043">
        <f t="shared" si="84"/>
        <v>0.3814164506727305</v>
      </c>
      <c r="AK104" s="1279"/>
      <c r="AL104" s="1279"/>
    </row>
    <row r="105" spans="1:38" x14ac:dyDescent="0.2">
      <c r="A105" s="347">
        <v>2036</v>
      </c>
      <c r="B105" s="360">
        <v>0</v>
      </c>
      <c r="C105" s="361">
        <v>7.6451392679151395E-2</v>
      </c>
      <c r="D105" s="361">
        <v>0.29032195310041797</v>
      </c>
      <c r="E105" s="361">
        <v>0.40412272589244208</v>
      </c>
      <c r="F105" s="361">
        <v>0.44397746779567132</v>
      </c>
      <c r="G105" s="361">
        <v>0.44993827775277195</v>
      </c>
      <c r="H105" s="361">
        <v>0.4297575259580409</v>
      </c>
      <c r="I105" s="361">
        <v>0.40830132402666902</v>
      </c>
      <c r="J105" s="361">
        <v>0.39269521977687</v>
      </c>
      <c r="K105" s="361">
        <v>0.38000432050868277</v>
      </c>
      <c r="L105" s="397">
        <v>0.36279640598049656</v>
      </c>
      <c r="M105" s="300">
        <f t="shared" si="79"/>
        <v>0.23608320434993821</v>
      </c>
      <c r="N105" s="302">
        <f t="shared" si="80"/>
        <v>0.18966216207186651</v>
      </c>
      <c r="O105" s="360">
        <v>0</v>
      </c>
      <c r="P105" s="361">
        <v>0.11152522475514112</v>
      </c>
      <c r="Q105" s="361">
        <v>0.32357352406974743</v>
      </c>
      <c r="R105" s="361">
        <v>0.41857880647764883</v>
      </c>
      <c r="S105" s="361">
        <v>0.44729662983703122</v>
      </c>
      <c r="T105" s="361">
        <v>0.43012669296772871</v>
      </c>
      <c r="U105" s="361">
        <v>0.41197419878991298</v>
      </c>
      <c r="V105" s="361">
        <v>0.39370405039644973</v>
      </c>
      <c r="W105" s="361">
        <v>0.37545811412472474</v>
      </c>
      <c r="X105" s="361">
        <v>0.36682987095322184</v>
      </c>
      <c r="Y105" s="397">
        <v>0.35537448426026863</v>
      </c>
      <c r="Z105" s="300">
        <f t="shared" si="81"/>
        <v>0.14616997934251333</v>
      </c>
      <c r="AA105" s="302">
        <f t="shared" si="82"/>
        <v>0.1275803107875107</v>
      </c>
      <c r="AB105" s="1054">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1055">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334">
        <f t="shared" si="88"/>
        <v>0</v>
      </c>
      <c r="AE105" s="1043">
        <f t="shared" si="85"/>
        <v>0.23608320434993821</v>
      </c>
      <c r="AF105" s="1043">
        <f t="shared" si="86"/>
        <v>0.14616997934251333</v>
      </c>
      <c r="AG105" s="1043">
        <f t="shared" si="87"/>
        <v>0.38225318369245154</v>
      </c>
      <c r="AH105" s="1280">
        <f t="shared" si="83"/>
        <v>0.61760951751780058</v>
      </c>
      <c r="AI105" s="1043">
        <f t="shared" si="84"/>
        <v>0.38239048248219937</v>
      </c>
      <c r="AK105" s="1279"/>
      <c r="AL105" s="1279"/>
    </row>
    <row r="106" spans="1:38" x14ac:dyDescent="0.2">
      <c r="A106" s="348">
        <v>2037</v>
      </c>
      <c r="B106" s="362">
        <v>0</v>
      </c>
      <c r="C106" s="363">
        <v>7.6451689606740494E-2</v>
      </c>
      <c r="D106" s="363">
        <v>0.29032308067435175</v>
      </c>
      <c r="E106" s="363">
        <v>0.40412429545425765</v>
      </c>
      <c r="F106" s="363">
        <v>0.44257606829393425</v>
      </c>
      <c r="G106" s="363">
        <v>0.4430654532300819</v>
      </c>
      <c r="H106" s="363">
        <v>0.42425548534598961</v>
      </c>
      <c r="I106" s="363">
        <v>0.39898310149393923</v>
      </c>
      <c r="J106" s="363">
        <v>0.37267311373186618</v>
      </c>
      <c r="K106" s="363">
        <v>0.35858288882506395</v>
      </c>
      <c r="L106" s="398">
        <v>0.32765814981117791</v>
      </c>
      <c r="M106" s="314">
        <f t="shared" si="79"/>
        <v>0.23221515460064435</v>
      </c>
      <c r="N106" s="316">
        <f t="shared" si="80"/>
        <v>0.18774917426565516</v>
      </c>
      <c r="O106" s="362">
        <v>0</v>
      </c>
      <c r="P106" s="363">
        <v>0.11152565790508057</v>
      </c>
      <c r="Q106" s="363">
        <v>0.32357470988448339</v>
      </c>
      <c r="R106" s="363">
        <v>0.41824543490003113</v>
      </c>
      <c r="S106" s="363">
        <v>0.44290877511981613</v>
      </c>
      <c r="T106" s="363">
        <v>0.42206657078554588</v>
      </c>
      <c r="U106" s="363">
        <v>0.40718706218830919</v>
      </c>
      <c r="V106" s="363">
        <v>0.38876294138531281</v>
      </c>
      <c r="W106" s="363">
        <v>0.37095981642020132</v>
      </c>
      <c r="X106" s="363">
        <v>0.36268661538380742</v>
      </c>
      <c r="Y106" s="398">
        <v>0.35526635907067461</v>
      </c>
      <c r="Z106" s="314">
        <f t="shared" si="81"/>
        <v>0.14492465338479329</v>
      </c>
      <c r="AA106" s="316">
        <f t="shared" si="82"/>
        <v>0.12670438741021872</v>
      </c>
      <c r="AB106" s="1054">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1055">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334">
        <f t="shared" si="88"/>
        <v>0</v>
      </c>
      <c r="AE106" s="1043">
        <f t="shared" si="85"/>
        <v>0.23221515460064435</v>
      </c>
      <c r="AF106" s="1043">
        <f t="shared" si="86"/>
        <v>0.14492465338479329</v>
      </c>
      <c r="AG106" s="1043">
        <f t="shared" si="87"/>
        <v>0.37713980798543767</v>
      </c>
      <c r="AH106" s="1280">
        <f t="shared" si="83"/>
        <v>0.61572697891814898</v>
      </c>
      <c r="AI106" s="1043">
        <f t="shared" si="84"/>
        <v>0.38427302108185091</v>
      </c>
      <c r="AK106" s="1279"/>
      <c r="AL106" s="1279"/>
    </row>
    <row r="107" spans="1:38" x14ac:dyDescent="0.2">
      <c r="A107" s="348">
        <v>2038</v>
      </c>
      <c r="B107" s="362">
        <v>0</v>
      </c>
      <c r="C107" s="363">
        <v>7.6451798840876356E-2</v>
      </c>
      <c r="D107" s="363">
        <v>0.29032349548782427</v>
      </c>
      <c r="E107" s="363">
        <v>0.3990831355856907</v>
      </c>
      <c r="F107" s="363">
        <v>0.41238408230494583</v>
      </c>
      <c r="G107" s="363">
        <v>0.38577048193708124</v>
      </c>
      <c r="H107" s="363">
        <v>0.35194477815428271</v>
      </c>
      <c r="I107" s="363">
        <v>0.32250309208074213</v>
      </c>
      <c r="J107" s="363">
        <v>0.30654577363383151</v>
      </c>
      <c r="K107" s="363">
        <v>0.29054767132366871</v>
      </c>
      <c r="L107" s="398">
        <v>0.27587705332422269</v>
      </c>
      <c r="M107" s="314">
        <f t="shared" si="79"/>
        <v>0.20782008948079797</v>
      </c>
      <c r="N107" s="316">
        <f t="shared" si="80"/>
        <v>0.17287216778170941</v>
      </c>
      <c r="O107" s="362">
        <v>0</v>
      </c>
      <c r="P107" s="363">
        <v>0.11152579235816502</v>
      </c>
      <c r="Q107" s="363">
        <v>0.32356671663943176</v>
      </c>
      <c r="R107" s="363">
        <v>0.41605960934345315</v>
      </c>
      <c r="S107" s="363">
        <v>0.43243967160009134</v>
      </c>
      <c r="T107" s="363">
        <v>0.4088703468915223</v>
      </c>
      <c r="U107" s="363">
        <v>0.39262818721035764</v>
      </c>
      <c r="V107" s="363">
        <v>0.38385432459763785</v>
      </c>
      <c r="W107" s="363">
        <v>0.36662187071449126</v>
      </c>
      <c r="X107" s="363">
        <v>0.35875233931801565</v>
      </c>
      <c r="Y107" s="398">
        <v>0.35182413959673636</v>
      </c>
      <c r="Z107" s="314">
        <f t="shared" si="81"/>
        <v>0.14220019220285424</v>
      </c>
      <c r="AA107" s="316">
        <f t="shared" si="82"/>
        <v>0.12473016014195346</v>
      </c>
      <c r="AB107" s="1054">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1055">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334">
        <f t="shared" si="88"/>
        <v>0</v>
      </c>
      <c r="AE107" s="1043">
        <f t="shared" si="85"/>
        <v>0.20782008948079797</v>
      </c>
      <c r="AF107" s="1043">
        <f t="shared" si="86"/>
        <v>0.14220019220285424</v>
      </c>
      <c r="AG107" s="1043">
        <f t="shared" si="87"/>
        <v>0.35002028168365218</v>
      </c>
      <c r="AH107" s="1280">
        <f t="shared" si="83"/>
        <v>0.59373727854040603</v>
      </c>
      <c r="AI107" s="1043">
        <f t="shared" si="84"/>
        <v>0.40626272145959408</v>
      </c>
      <c r="AK107" s="1279"/>
      <c r="AL107" s="1279"/>
    </row>
    <row r="108" spans="1:38" x14ac:dyDescent="0.2">
      <c r="A108" s="348">
        <v>2039</v>
      </c>
      <c r="B108" s="362">
        <v>0</v>
      </c>
      <c r="C108" s="363">
        <v>7.6451839025947793E-2</v>
      </c>
      <c r="D108" s="363">
        <v>0.27830028967520221</v>
      </c>
      <c r="E108" s="363">
        <v>0.34702887563801799</v>
      </c>
      <c r="F108" s="363">
        <v>0.3397505377797842</v>
      </c>
      <c r="G108" s="363">
        <v>0.32545575086670825</v>
      </c>
      <c r="H108" s="363">
        <v>0.30299025774633903</v>
      </c>
      <c r="I108" s="363">
        <v>0.28590998412996182</v>
      </c>
      <c r="J108" s="363">
        <v>0.27919131139402426</v>
      </c>
      <c r="K108" s="363">
        <v>0.27199850931894254</v>
      </c>
      <c r="L108" s="398">
        <v>0.2630930833235452</v>
      </c>
      <c r="M108" s="314">
        <f t="shared" si="79"/>
        <v>0.18110417550143326</v>
      </c>
      <c r="N108" s="316">
        <f t="shared" si="80"/>
        <v>0.15165087026609442</v>
      </c>
      <c r="O108" s="362">
        <v>0</v>
      </c>
      <c r="P108" s="363">
        <v>0.11152111944441034</v>
      </c>
      <c r="Q108" s="363">
        <v>0.32350826671704969</v>
      </c>
      <c r="R108" s="363">
        <v>0.41061236007734292</v>
      </c>
      <c r="S108" s="363">
        <v>0.4173771845909815</v>
      </c>
      <c r="T108" s="363">
        <v>0.3946664937955936</v>
      </c>
      <c r="U108" s="363">
        <v>0.39040138030766119</v>
      </c>
      <c r="V108" s="363">
        <v>0.37432717103621999</v>
      </c>
      <c r="W108" s="363">
        <v>0.36242811758832899</v>
      </c>
      <c r="X108" s="363">
        <v>0.35500923196899775</v>
      </c>
      <c r="Y108" s="398">
        <v>0.3486165387269341</v>
      </c>
      <c r="Z108" s="314">
        <f t="shared" si="81"/>
        <v>0.13934753541551151</v>
      </c>
      <c r="AA108" s="316">
        <f t="shared" si="82"/>
        <v>0.12246938323569373</v>
      </c>
      <c r="AB108" s="1054">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1055">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334">
        <f t="shared" si="88"/>
        <v>0</v>
      </c>
      <c r="AE108" s="1043">
        <f t="shared" si="85"/>
        <v>0.18110417550143326</v>
      </c>
      <c r="AF108" s="1043">
        <f t="shared" si="86"/>
        <v>0.13934753541551151</v>
      </c>
      <c r="AG108" s="1043">
        <f t="shared" si="87"/>
        <v>0.3204517109169448</v>
      </c>
      <c r="AH108" s="1280">
        <f t="shared" si="83"/>
        <v>0.565152780689544</v>
      </c>
      <c r="AI108" s="1043">
        <f t="shared" si="84"/>
        <v>0.43484721931045589</v>
      </c>
      <c r="AK108" s="1279"/>
      <c r="AL108" s="1279"/>
    </row>
    <row r="109" spans="1:38" ht="13.5" thickBot="1" x14ac:dyDescent="0.25">
      <c r="A109" s="346">
        <v>2040</v>
      </c>
      <c r="B109" s="364">
        <v>0</v>
      </c>
      <c r="C109" s="365">
        <v>7.4650079144059384E-2</v>
      </c>
      <c r="D109" s="365">
        <v>0.24027524813021181</v>
      </c>
      <c r="E109" s="365">
        <v>0.30379322991311908</v>
      </c>
      <c r="F109" s="365">
        <v>0.29976632046813745</v>
      </c>
      <c r="G109" s="365">
        <v>0.29821954529828115</v>
      </c>
      <c r="H109" s="365">
        <v>0.28160332123654352</v>
      </c>
      <c r="I109" s="365">
        <v>0.27273269354855834</v>
      </c>
      <c r="J109" s="365">
        <v>0.26984526876633058</v>
      </c>
      <c r="K109" s="365">
        <v>0.2656985866431345</v>
      </c>
      <c r="L109" s="399">
        <v>0.25936194672695839</v>
      </c>
      <c r="M109" s="328">
        <f t="shared" si="79"/>
        <v>0.16491869758770822</v>
      </c>
      <c r="N109" s="330">
        <f t="shared" si="80"/>
        <v>0.13652895954106484</v>
      </c>
      <c r="O109" s="364">
        <v>0</v>
      </c>
      <c r="P109" s="365">
        <v>0.12716694436710455</v>
      </c>
      <c r="Q109" s="365">
        <v>0.32275363433995963</v>
      </c>
      <c r="R109" s="365">
        <v>0.39585214054440876</v>
      </c>
      <c r="S109" s="365">
        <v>0.39775596484892761</v>
      </c>
      <c r="T109" s="365">
        <v>0.37999176728249279</v>
      </c>
      <c r="U109" s="365">
        <v>0.3787543939649014</v>
      </c>
      <c r="V109" s="365">
        <v>0.36521882381120252</v>
      </c>
      <c r="W109" s="365">
        <v>0.35838941831605103</v>
      </c>
      <c r="X109" s="365">
        <v>0.35146577415617297</v>
      </c>
      <c r="Y109" s="399">
        <v>0.34565482783689755</v>
      </c>
      <c r="Z109" s="328">
        <f t="shared" si="81"/>
        <v>0.13539799824572407</v>
      </c>
      <c r="AA109" s="330">
        <f t="shared" si="82"/>
        <v>0.1199186155593901</v>
      </c>
      <c r="AB109" s="1054">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1055">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334">
        <f t="shared" si="88"/>
        <v>0</v>
      </c>
      <c r="AE109" s="1043">
        <f t="shared" si="85"/>
        <v>0.16491869758770822</v>
      </c>
      <c r="AF109" s="1043">
        <f t="shared" si="86"/>
        <v>0.13539799824572407</v>
      </c>
      <c r="AG109" s="1043">
        <f t="shared" si="87"/>
        <v>0.30031669583343229</v>
      </c>
      <c r="AH109" s="1280">
        <f t="shared" si="83"/>
        <v>0.54914928099494931</v>
      </c>
      <c r="AI109" s="1043">
        <f t="shared" si="84"/>
        <v>0.45085071900505075</v>
      </c>
      <c r="AK109" s="1279"/>
      <c r="AL109" s="1279"/>
    </row>
    <row r="110" spans="1:38" x14ac:dyDescent="0.2">
      <c r="A110" s="347">
        <v>2041</v>
      </c>
      <c r="B110" s="360">
        <v>0</v>
      </c>
      <c r="C110" s="361">
        <v>6.3235408197541518E-2</v>
      </c>
      <c r="D110" s="361">
        <v>0.2090175206280119</v>
      </c>
      <c r="E110" s="361">
        <v>0.27088405296464524</v>
      </c>
      <c r="F110" s="361">
        <v>0.27500174895704127</v>
      </c>
      <c r="G110" s="361">
        <v>0.28073601892851091</v>
      </c>
      <c r="H110" s="361">
        <v>0.27124260283474594</v>
      </c>
      <c r="I110" s="361">
        <v>0.26539641485897308</v>
      </c>
      <c r="J110" s="361">
        <v>0.26343598248589939</v>
      </c>
      <c r="K110" s="361">
        <v>0.26035845833197319</v>
      </c>
      <c r="L110" s="397">
        <v>0.25693747138076883</v>
      </c>
      <c r="M110" s="300">
        <f t="shared" si="79"/>
        <v>0.15377453401782618</v>
      </c>
      <c r="N110" s="302">
        <f t="shared" si="80"/>
        <v>0.12509412053856986</v>
      </c>
      <c r="O110" s="360">
        <v>0</v>
      </c>
      <c r="P110" s="361">
        <v>0.12698331511213157</v>
      </c>
      <c r="Q110" s="361">
        <v>0.31677249373240701</v>
      </c>
      <c r="R110" s="361">
        <v>0.37486343041196241</v>
      </c>
      <c r="S110" s="361">
        <v>0.37946283326899982</v>
      </c>
      <c r="T110" s="361">
        <v>0.37011155170992233</v>
      </c>
      <c r="U110" s="361">
        <v>0.36927088942630193</v>
      </c>
      <c r="V110" s="361">
        <v>0.35668371254387576</v>
      </c>
      <c r="W110" s="361">
        <v>0.3511627105479142</v>
      </c>
      <c r="X110" s="361">
        <v>0.34811052920524244</v>
      </c>
      <c r="Y110" s="397">
        <v>0.34292587853249523</v>
      </c>
      <c r="Z110" s="300">
        <f t="shared" si="81"/>
        <v>0.13083907013312049</v>
      </c>
      <c r="AA110" s="302">
        <f t="shared" si="82"/>
        <v>0.11587614460925529</v>
      </c>
      <c r="AB110" s="1054">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1055">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334">
        <f t="shared" si="88"/>
        <v>0</v>
      </c>
      <c r="AE110" s="1043">
        <f t="shared" si="85"/>
        <v>0.15377453401782618</v>
      </c>
      <c r="AF110" s="1043">
        <f t="shared" si="86"/>
        <v>0.13083907013312049</v>
      </c>
      <c r="AG110" s="1043">
        <f t="shared" si="87"/>
        <v>0.28461360415094666</v>
      </c>
      <c r="AH110" s="1280">
        <f t="shared" si="83"/>
        <v>0.54029228320467371</v>
      </c>
      <c r="AI110" s="1043">
        <f t="shared" si="84"/>
        <v>0.45970771679532629</v>
      </c>
      <c r="AK110" s="1279"/>
      <c r="AL110" s="1279"/>
    </row>
    <row r="111" spans="1:38" x14ac:dyDescent="0.2">
      <c r="A111" s="348">
        <v>2042</v>
      </c>
      <c r="B111" s="362">
        <v>0</v>
      </c>
      <c r="C111" s="363">
        <v>5.9659334908516444E-2</v>
      </c>
      <c r="D111" s="363">
        <v>0.1954484211387677</v>
      </c>
      <c r="E111" s="363">
        <v>0.24810342085760889</v>
      </c>
      <c r="F111" s="363">
        <v>0.26854326767767128</v>
      </c>
      <c r="G111" s="363">
        <v>0.26733716302519761</v>
      </c>
      <c r="H111" s="363">
        <v>0.26387889593332681</v>
      </c>
      <c r="I111" s="363">
        <v>0.26047738434183842</v>
      </c>
      <c r="J111" s="363">
        <v>0.25896334426721845</v>
      </c>
      <c r="K111" s="363">
        <v>0.25831999170836123</v>
      </c>
      <c r="L111" s="398">
        <v>0.2554516675570615</v>
      </c>
      <c r="M111" s="314">
        <f t="shared" si="79"/>
        <v>0.14799006198475828</v>
      </c>
      <c r="N111" s="316">
        <f t="shared" si="80"/>
        <v>0.11941995497559067</v>
      </c>
      <c r="O111" s="362">
        <v>0</v>
      </c>
      <c r="P111" s="363">
        <v>0.12040197614743693</v>
      </c>
      <c r="Q111" s="363">
        <v>0.29500366734651012</v>
      </c>
      <c r="R111" s="363">
        <v>0.34583673281537336</v>
      </c>
      <c r="S111" s="363">
        <v>0.35535352238881679</v>
      </c>
      <c r="T111" s="363">
        <v>0.35593040572886581</v>
      </c>
      <c r="U111" s="363">
        <v>0.35621674240583318</v>
      </c>
      <c r="V111" s="363">
        <v>0.35254331870454536</v>
      </c>
      <c r="W111" s="363">
        <v>0.34766361530684126</v>
      </c>
      <c r="X111" s="363">
        <v>0.34491555716216793</v>
      </c>
      <c r="Y111" s="398">
        <v>0.34040362538113189</v>
      </c>
      <c r="Z111" s="314">
        <f t="shared" si="81"/>
        <v>0.12411863627505601</v>
      </c>
      <c r="AA111" s="316">
        <f t="shared" si="82"/>
        <v>0.10921140222378821</v>
      </c>
      <c r="AB111" s="1054">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1055">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334">
        <f t="shared" si="88"/>
        <v>0</v>
      </c>
      <c r="AE111" s="1043">
        <f t="shared" si="85"/>
        <v>0.14799006198475828</v>
      </c>
      <c r="AF111" s="1043">
        <f t="shared" si="86"/>
        <v>0.12411863627505601</v>
      </c>
      <c r="AG111" s="1043">
        <f t="shared" si="87"/>
        <v>0.27210869825981432</v>
      </c>
      <c r="AH111" s="1280">
        <f t="shared" si="83"/>
        <v>0.54386376816023241</v>
      </c>
      <c r="AI111" s="1043">
        <f t="shared" si="84"/>
        <v>0.45613623183976754</v>
      </c>
      <c r="AK111" s="1279"/>
      <c r="AL111" s="1279"/>
    </row>
    <row r="112" spans="1:38" x14ac:dyDescent="0.2">
      <c r="A112" s="348">
        <v>2043</v>
      </c>
      <c r="B112" s="362">
        <v>0</v>
      </c>
      <c r="C112" s="363">
        <v>8.0022689695198143E-2</v>
      </c>
      <c r="D112" s="363">
        <v>0.20165439405002142</v>
      </c>
      <c r="E112" s="363">
        <v>0.24935073603665073</v>
      </c>
      <c r="F112" s="363">
        <v>0.26312411049786721</v>
      </c>
      <c r="G112" s="363">
        <v>0.26211339708525749</v>
      </c>
      <c r="H112" s="363">
        <v>0.26123067036230274</v>
      </c>
      <c r="I112" s="363">
        <v>0.25935912460366856</v>
      </c>
      <c r="J112" s="363">
        <v>0.25693715575204751</v>
      </c>
      <c r="K112" s="363">
        <v>0.25666758616437085</v>
      </c>
      <c r="L112" s="398">
        <v>0.25415865759221284</v>
      </c>
      <c r="M112" s="314">
        <f t="shared" si="79"/>
        <v>0.14769872046388408</v>
      </c>
      <c r="N112" s="316">
        <f t="shared" si="80"/>
        <v>0.12085725086506655</v>
      </c>
      <c r="O112" s="362">
        <v>0</v>
      </c>
      <c r="P112" s="363">
        <v>0.10962897610415077</v>
      </c>
      <c r="Q112" s="363">
        <v>0.25346557363380351</v>
      </c>
      <c r="R112" s="363">
        <v>0.3224174484044916</v>
      </c>
      <c r="S112" s="363">
        <v>0.34093582751631202</v>
      </c>
      <c r="T112" s="363">
        <v>0.34285816558034932</v>
      </c>
      <c r="U112" s="363">
        <v>0.34818267056859797</v>
      </c>
      <c r="V112" s="363">
        <v>0.34855016626799967</v>
      </c>
      <c r="W112" s="363">
        <v>0.34425668658824793</v>
      </c>
      <c r="X112" s="363">
        <v>0.34183634105286409</v>
      </c>
      <c r="Y112" s="398">
        <v>0.33804751583540138</v>
      </c>
      <c r="Z112" s="314">
        <f t="shared" si="81"/>
        <v>0.11801568065332042</v>
      </c>
      <c r="AA112" s="316">
        <f t="shared" si="82"/>
        <v>0.10237352065885273</v>
      </c>
      <c r="AB112" s="1054">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1055">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334">
        <f t="shared" si="88"/>
        <v>0</v>
      </c>
      <c r="AE112" s="1043">
        <f t="shared" si="85"/>
        <v>0.14769872046388408</v>
      </c>
      <c r="AF112" s="1043">
        <f t="shared" si="86"/>
        <v>0.11801568065332042</v>
      </c>
      <c r="AG112" s="1043">
        <f t="shared" si="87"/>
        <v>0.26571440111720451</v>
      </c>
      <c r="AH112" s="1280">
        <f t="shared" si="83"/>
        <v>0.55585515818066389</v>
      </c>
      <c r="AI112" s="1043">
        <f t="shared" si="84"/>
        <v>0.44414484181933611</v>
      </c>
      <c r="AK112" s="1279"/>
      <c r="AL112" s="1279"/>
    </row>
    <row r="113" spans="1:39" x14ac:dyDescent="0.2">
      <c r="A113" s="348">
        <v>2044</v>
      </c>
      <c r="B113" s="362">
        <v>0</v>
      </c>
      <c r="C113" s="363">
        <v>9.0312434357462487E-2</v>
      </c>
      <c r="D113" s="363">
        <v>0.19259320522260168</v>
      </c>
      <c r="E113" s="363">
        <v>0.24581137216689031</v>
      </c>
      <c r="F113" s="363">
        <v>0.25397580942316222</v>
      </c>
      <c r="G113" s="363">
        <v>0.25790305772094052</v>
      </c>
      <c r="H113" s="363">
        <v>0.25802562402731932</v>
      </c>
      <c r="I113" s="363">
        <v>0.25605015542553111</v>
      </c>
      <c r="J113" s="363">
        <v>0.25554125859401622</v>
      </c>
      <c r="K113" s="363">
        <v>0.25519332682162804</v>
      </c>
      <c r="L113" s="398">
        <v>0.25307408830589107</v>
      </c>
      <c r="M113" s="314">
        <f t="shared" si="79"/>
        <v>0.14516823014838628</v>
      </c>
      <c r="N113" s="316">
        <f t="shared" si="80"/>
        <v>0.11909687774246951</v>
      </c>
      <c r="O113" s="362">
        <v>0</v>
      </c>
      <c r="P113" s="363">
        <v>8.8475481980238926E-2</v>
      </c>
      <c r="Q113" s="363">
        <v>0.21127916237732866</v>
      </c>
      <c r="R113" s="363">
        <v>0.30856465355521712</v>
      </c>
      <c r="S113" s="363">
        <v>0.32787584695035588</v>
      </c>
      <c r="T113" s="363">
        <v>0.3351563984373096</v>
      </c>
      <c r="U113" s="363">
        <v>0.3444002698518428</v>
      </c>
      <c r="V113" s="363">
        <v>0.34600828719792964</v>
      </c>
      <c r="W113" s="363">
        <v>0.34135911261289664</v>
      </c>
      <c r="X113" s="363">
        <v>0.33928508926687106</v>
      </c>
      <c r="Y113" s="398">
        <v>0.33757775143844798</v>
      </c>
      <c r="Z113" s="314">
        <f t="shared" si="81"/>
        <v>0.11289244101131166</v>
      </c>
      <c r="AA113" s="316">
        <f t="shared" si="82"/>
        <v>9.5912452890482627E-2</v>
      </c>
      <c r="AB113" s="1054">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1055">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334">
        <f t="shared" si="88"/>
        <v>0</v>
      </c>
      <c r="AE113" s="1043">
        <f t="shared" si="85"/>
        <v>0.14516823014838628</v>
      </c>
      <c r="AF113" s="1043">
        <f t="shared" si="86"/>
        <v>0.11289244101131166</v>
      </c>
      <c r="AG113" s="1043">
        <f t="shared" si="87"/>
        <v>0.25806067115969794</v>
      </c>
      <c r="AH113" s="1280">
        <f t="shared" si="83"/>
        <v>0.56253527318213692</v>
      </c>
      <c r="AI113" s="1043">
        <f t="shared" si="84"/>
        <v>0.43746472681786308</v>
      </c>
      <c r="AK113" s="1279"/>
      <c r="AL113" s="1279"/>
    </row>
    <row r="114" spans="1:39" ht="13.5" thickBot="1" x14ac:dyDescent="0.25">
      <c r="A114" s="346">
        <v>2045</v>
      </c>
      <c r="B114" s="364">
        <v>0</v>
      </c>
      <c r="C114" s="365">
        <v>8.8655225426867074E-2</v>
      </c>
      <c r="D114" s="365">
        <v>0.17926943129333436</v>
      </c>
      <c r="E114" s="365">
        <v>0.24193872271105649</v>
      </c>
      <c r="F114" s="365">
        <v>0.2517753946743399</v>
      </c>
      <c r="G114" s="365">
        <v>0.25753898035789902</v>
      </c>
      <c r="H114" s="365">
        <v>0.25637213550519178</v>
      </c>
      <c r="I114" s="365">
        <v>0.25469820117134745</v>
      </c>
      <c r="J114" s="365">
        <v>0.2543612405978547</v>
      </c>
      <c r="K114" s="365">
        <v>0.25391162593984046</v>
      </c>
      <c r="L114" s="399">
        <v>0.25295342700564311</v>
      </c>
      <c r="M114" s="328">
        <f t="shared" si="79"/>
        <v>0.14338301943496401</v>
      </c>
      <c r="N114" s="330">
        <f t="shared" si="80"/>
        <v>0.1169480600230834</v>
      </c>
      <c r="O114" s="364">
        <v>0</v>
      </c>
      <c r="P114" s="365">
        <v>8.2839597853593017E-2</v>
      </c>
      <c r="Q114" s="365">
        <v>0.18559410294624704</v>
      </c>
      <c r="R114" s="365">
        <v>0.29501586068426833</v>
      </c>
      <c r="S114" s="365">
        <v>0.3192368961353777</v>
      </c>
      <c r="T114" s="365">
        <v>0.33075882245717647</v>
      </c>
      <c r="U114" s="365">
        <v>0.34022024507454796</v>
      </c>
      <c r="V114" s="365">
        <v>0.34209877628357077</v>
      </c>
      <c r="W114" s="365">
        <v>0.33815051098956428</v>
      </c>
      <c r="X114" s="365">
        <v>0.33645317737818609</v>
      </c>
      <c r="Y114" s="399">
        <v>0.33515026225471672</v>
      </c>
      <c r="Z114" s="328">
        <f t="shared" si="81"/>
        <v>0.10940561497029319</v>
      </c>
      <c r="AA114" s="330">
        <f t="shared" si="82"/>
        <v>9.1967855047962954E-2</v>
      </c>
      <c r="AB114" s="1054">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1055">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334">
        <f t="shared" si="88"/>
        <v>0</v>
      </c>
      <c r="AE114" s="1043">
        <f t="shared" si="85"/>
        <v>0.14338301943496401</v>
      </c>
      <c r="AF114" s="1043">
        <f t="shared" si="86"/>
        <v>0.10940561497029319</v>
      </c>
      <c r="AG114" s="1043">
        <f t="shared" si="87"/>
        <v>0.25278863440525723</v>
      </c>
      <c r="AH114" s="1280">
        <f t="shared" si="83"/>
        <v>0.56720516637270968</v>
      </c>
      <c r="AI114" s="1043">
        <f t="shared" si="84"/>
        <v>0.43279483362729021</v>
      </c>
      <c r="AK114" s="1279"/>
      <c r="AL114" s="1279"/>
    </row>
    <row r="115" spans="1:39" x14ac:dyDescent="0.2">
      <c r="A115" s="347">
        <v>2046</v>
      </c>
      <c r="B115" s="360">
        <v>0</v>
      </c>
      <c r="C115" s="361">
        <v>7.7704449487337957E-2</v>
      </c>
      <c r="D115" s="361">
        <v>0.17278941079641777</v>
      </c>
      <c r="E115" s="361">
        <v>0.24007898941546746</v>
      </c>
      <c r="F115" s="361">
        <v>0.25121625327984232</v>
      </c>
      <c r="G115" s="361">
        <v>0.25452961622491155</v>
      </c>
      <c r="H115" s="361">
        <v>0.25484536920969003</v>
      </c>
      <c r="I115" s="361">
        <v>0.25350105419968949</v>
      </c>
      <c r="J115" s="361">
        <v>0.25335083610799009</v>
      </c>
      <c r="K115" s="361">
        <v>0.25379625983361437</v>
      </c>
      <c r="L115" s="397">
        <v>0.25210107658568376</v>
      </c>
      <c r="M115" s="300">
        <f t="shared" si="79"/>
        <v>0.14190558939590178</v>
      </c>
      <c r="N115" s="302">
        <f t="shared" si="80"/>
        <v>0.11484789565351605</v>
      </c>
      <c r="O115" s="360">
        <v>0</v>
      </c>
      <c r="P115" s="361">
        <v>8.9012476065028823E-2</v>
      </c>
      <c r="Q115" s="361">
        <v>0.16851384266656341</v>
      </c>
      <c r="R115" s="361">
        <v>0.28959744015548655</v>
      </c>
      <c r="S115" s="361">
        <v>0.31422252319404032</v>
      </c>
      <c r="T115" s="361">
        <v>0.32619721442561783</v>
      </c>
      <c r="U115" s="361">
        <v>0.33589551307195503</v>
      </c>
      <c r="V115" s="361">
        <v>0.33353237638092359</v>
      </c>
      <c r="W115" s="361">
        <v>0.3365518143736988</v>
      </c>
      <c r="X115" s="361">
        <v>0.33486910686110311</v>
      </c>
      <c r="Y115" s="397">
        <v>0.33357737407941057</v>
      </c>
      <c r="Z115" s="300">
        <f t="shared" si="81"/>
        <v>0.10741217983469986</v>
      </c>
      <c r="AA115" s="302">
        <f t="shared" si="82"/>
        <v>9.0165136680562266E-2</v>
      </c>
      <c r="AB115" s="1054">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1055">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334">
        <f t="shared" si="88"/>
        <v>0</v>
      </c>
      <c r="AE115" s="1043">
        <f t="shared" si="85"/>
        <v>0.14190558939590178</v>
      </c>
      <c r="AF115" s="1043">
        <f t="shared" si="86"/>
        <v>0.10741217983469986</v>
      </c>
      <c r="AG115" s="1043">
        <f t="shared" si="87"/>
        <v>0.24931776923060164</v>
      </c>
      <c r="AH115" s="1280">
        <f t="shared" si="83"/>
        <v>0.56917559399726925</v>
      </c>
      <c r="AI115" s="1043">
        <f t="shared" si="84"/>
        <v>0.43082440600273075</v>
      </c>
      <c r="AK115" s="1279"/>
      <c r="AL115" s="1279"/>
    </row>
    <row r="116" spans="1:39" x14ac:dyDescent="0.2">
      <c r="A116" s="348">
        <v>2047</v>
      </c>
      <c r="B116" s="362">
        <v>0</v>
      </c>
      <c r="C116" s="363">
        <v>7.4264710931899042E-2</v>
      </c>
      <c r="D116" s="363">
        <v>0.16760248634802916</v>
      </c>
      <c r="E116" s="363">
        <v>0.24001168215282787</v>
      </c>
      <c r="F116" s="363">
        <v>0.24927228243438612</v>
      </c>
      <c r="G116" s="363">
        <v>0.25593938342301797</v>
      </c>
      <c r="H116" s="363">
        <v>0.25345963161172397</v>
      </c>
      <c r="I116" s="363">
        <v>0.25363570844028532</v>
      </c>
      <c r="J116" s="363">
        <v>0.25348544451457267</v>
      </c>
      <c r="K116" s="363">
        <v>0.25293409008280171</v>
      </c>
      <c r="L116" s="398">
        <v>0.25219645697764265</v>
      </c>
      <c r="M116" s="314">
        <f t="shared" si="79"/>
        <v>0.14119600612778549</v>
      </c>
      <c r="N116" s="316">
        <f t="shared" si="80"/>
        <v>0.1138406396561954</v>
      </c>
      <c r="O116" s="362">
        <v>0</v>
      </c>
      <c r="P116" s="363">
        <v>8.5200615709924474E-2</v>
      </c>
      <c r="Q116" s="363">
        <v>0.16160895144788381</v>
      </c>
      <c r="R116" s="363">
        <v>0.28380144759937687</v>
      </c>
      <c r="S116" s="363">
        <v>0.31199229026756803</v>
      </c>
      <c r="T116" s="363">
        <v>0.32398513627299008</v>
      </c>
      <c r="U116" s="363">
        <v>0.32830767950205869</v>
      </c>
      <c r="V116" s="363">
        <v>0.33134269419032863</v>
      </c>
      <c r="W116" s="363">
        <v>0.33270849024665811</v>
      </c>
      <c r="X116" s="363">
        <v>0.33270849024665811</v>
      </c>
      <c r="Y116" s="398">
        <v>0.33143232681330498</v>
      </c>
      <c r="Z116" s="314">
        <f t="shared" si="81"/>
        <v>0.10581236225391726</v>
      </c>
      <c r="AA116" s="316">
        <f t="shared" si="82"/>
        <v>8.8537742911846143E-2</v>
      </c>
      <c r="AB116" s="1054">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1055">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334">
        <f t="shared" si="88"/>
        <v>0</v>
      </c>
      <c r="AE116" s="1043">
        <f t="shared" si="85"/>
        <v>0.14119600612778549</v>
      </c>
      <c r="AF116" s="1043">
        <f t="shared" si="86"/>
        <v>0.10581236225391726</v>
      </c>
      <c r="AG116" s="1043">
        <f t="shared" si="87"/>
        <v>0.24700836838170276</v>
      </c>
      <c r="AH116" s="1280">
        <f t="shared" si="83"/>
        <v>0.57162438282088845</v>
      </c>
      <c r="AI116" s="1043">
        <f t="shared" si="84"/>
        <v>0.42837561717911155</v>
      </c>
      <c r="AK116" s="1279"/>
      <c r="AL116" s="1279"/>
    </row>
    <row r="117" spans="1:39" x14ac:dyDescent="0.2">
      <c r="A117" s="348">
        <v>2048</v>
      </c>
      <c r="B117" s="362">
        <v>0</v>
      </c>
      <c r="C117" s="363">
        <v>7.4820168319874591E-2</v>
      </c>
      <c r="D117" s="363">
        <v>0.17108678920296064</v>
      </c>
      <c r="E117" s="363">
        <v>0.24149593943501671</v>
      </c>
      <c r="F117" s="363">
        <v>0.24801645946039461</v>
      </c>
      <c r="G117" s="363">
        <v>0.25436152643664495</v>
      </c>
      <c r="H117" s="363">
        <v>0.25357965712846087</v>
      </c>
      <c r="I117" s="363">
        <v>0.25375596072361761</v>
      </c>
      <c r="J117" s="363">
        <v>0.25360561879030102</v>
      </c>
      <c r="K117" s="363">
        <v>0.25305381420291473</v>
      </c>
      <c r="L117" s="398">
        <v>0.2523155533572608</v>
      </c>
      <c r="M117" s="314">
        <f t="shared" si="79"/>
        <v>0.14131245841489648</v>
      </c>
      <c r="N117" s="316">
        <f t="shared" si="80"/>
        <v>0.11414977407000026</v>
      </c>
      <c r="O117" s="362">
        <v>0</v>
      </c>
      <c r="P117" s="363">
        <v>8.4816208351513697E-2</v>
      </c>
      <c r="Q117" s="363">
        <v>0.15891871768430807</v>
      </c>
      <c r="R117" s="363">
        <v>0.27909771352072599</v>
      </c>
      <c r="S117" s="363">
        <v>0.30754769373004237</v>
      </c>
      <c r="T117" s="363">
        <v>0.32000655596787686</v>
      </c>
      <c r="U117" s="363">
        <v>0.32461100169236817</v>
      </c>
      <c r="V117" s="363">
        <v>0.3279613942552424</v>
      </c>
      <c r="W117" s="363">
        <v>0.33133331568344948</v>
      </c>
      <c r="X117" s="363">
        <v>0.33006666094567466</v>
      </c>
      <c r="Y117" s="398">
        <v>0.32922334219787319</v>
      </c>
      <c r="Z117" s="314">
        <f t="shared" si="81"/>
        <v>0.10446962807501629</v>
      </c>
      <c r="AA117" s="316">
        <f t="shared" si="82"/>
        <v>8.7364665327830993E-2</v>
      </c>
      <c r="AB117" s="1054">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1055">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334">
        <f t="shared" si="88"/>
        <v>0</v>
      </c>
      <c r="AE117" s="1043">
        <f t="shared" si="85"/>
        <v>0.14131245841489648</v>
      </c>
      <c r="AF117" s="1043">
        <f t="shared" si="86"/>
        <v>0.10446962807501629</v>
      </c>
      <c r="AG117" s="1043">
        <f t="shared" si="87"/>
        <v>0.24578208648991279</v>
      </c>
      <c r="AH117" s="1280">
        <f t="shared" si="83"/>
        <v>0.5749501944304477</v>
      </c>
      <c r="AI117" s="1043">
        <f t="shared" si="84"/>
        <v>0.42504980556955219</v>
      </c>
      <c r="AK117" s="1279"/>
      <c r="AL117" s="1279"/>
    </row>
    <row r="118" spans="1:39" x14ac:dyDescent="0.2">
      <c r="A118" s="348">
        <v>2049</v>
      </c>
      <c r="B118" s="362">
        <v>0</v>
      </c>
      <c r="C118" s="363">
        <v>7.6917223726433434E-2</v>
      </c>
      <c r="D118" s="363">
        <v>0.16972725689464066</v>
      </c>
      <c r="E118" s="363">
        <v>0.23940864399177159</v>
      </c>
      <c r="F118" s="363">
        <v>0.2481175413247993</v>
      </c>
      <c r="G118" s="363">
        <v>0.25446681682990696</v>
      </c>
      <c r="H118" s="363">
        <v>0.25368532996102694</v>
      </c>
      <c r="I118" s="363">
        <v>0.25269810481260391</v>
      </c>
      <c r="J118" s="363">
        <v>0.2527508803582828</v>
      </c>
      <c r="K118" s="363">
        <v>0.25315909486466942</v>
      </c>
      <c r="L118" s="398">
        <v>0.25242023676372549</v>
      </c>
      <c r="M118" s="314">
        <f t="shared" si="79"/>
        <v>0.14106583319046109</v>
      </c>
      <c r="N118" s="316">
        <f t="shared" si="80"/>
        <v>0.11399498779102755</v>
      </c>
      <c r="O118" s="362">
        <v>0</v>
      </c>
      <c r="P118" s="363">
        <v>8.0052806989424741E-2</v>
      </c>
      <c r="Q118" s="363">
        <v>0.16100988381245937</v>
      </c>
      <c r="R118" s="363">
        <v>0.27589844033706429</v>
      </c>
      <c r="S118" s="363">
        <v>0.30428636336090858</v>
      </c>
      <c r="T118" s="363">
        <v>0.31675914212459194</v>
      </c>
      <c r="U118" s="363">
        <v>0.32137278866561075</v>
      </c>
      <c r="V118" s="363">
        <v>0.32473412670539442</v>
      </c>
      <c r="W118" s="363">
        <v>0.32811203117870658</v>
      </c>
      <c r="X118" s="363">
        <v>0.32686886671457421</v>
      </c>
      <c r="Y118" s="398">
        <v>0.32604114027897207</v>
      </c>
      <c r="Z118" s="314">
        <f t="shared" si="81"/>
        <v>0.10343022440815236</v>
      </c>
      <c r="AA118" s="316">
        <f t="shared" si="82"/>
        <v>8.6415526309522553E-2</v>
      </c>
      <c r="AB118" s="1054">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1055">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334">
        <f t="shared" si="88"/>
        <v>0</v>
      </c>
      <c r="AE118" s="1043">
        <f t="shared" si="85"/>
        <v>0.14106583319046109</v>
      </c>
      <c r="AF118" s="1043">
        <f t="shared" si="86"/>
        <v>0.10343022440815236</v>
      </c>
      <c r="AG118" s="1043">
        <f t="shared" si="87"/>
        <v>0.24449605759861345</v>
      </c>
      <c r="AH118" s="1280">
        <f t="shared" si="83"/>
        <v>0.57696567615845717</v>
      </c>
      <c r="AI118" s="1043">
        <f t="shared" si="84"/>
        <v>0.42303432384154288</v>
      </c>
      <c r="AK118" s="1279"/>
      <c r="AL118" s="1279"/>
    </row>
    <row r="119" spans="1:39" ht="13.5" thickBot="1" x14ac:dyDescent="0.25">
      <c r="A119" s="346">
        <v>2050</v>
      </c>
      <c r="B119" s="364">
        <v>0</v>
      </c>
      <c r="C119" s="365">
        <v>7.5397437276857965E-2</v>
      </c>
      <c r="D119" s="365">
        <v>0.16957161433052539</v>
      </c>
      <c r="E119" s="365">
        <v>0.2400429412653336</v>
      </c>
      <c r="F119" s="365">
        <v>0.24820489595167095</v>
      </c>
      <c r="G119" s="365">
        <v>0.25455779769191228</v>
      </c>
      <c r="H119" s="365">
        <v>0.25242436675047636</v>
      </c>
      <c r="I119" s="365">
        <v>0.25278861488072035</v>
      </c>
      <c r="J119" s="365">
        <v>0.25284140430258079</v>
      </c>
      <c r="K119" s="365">
        <v>0.25324992145806779</v>
      </c>
      <c r="L119" s="399">
        <v>0.25201745537989212</v>
      </c>
      <c r="M119" s="328">
        <f t="shared" si="79"/>
        <v>0.14095947855335414</v>
      </c>
      <c r="N119" s="330">
        <f>SUMPRODUCT($B$73:$L$73,$B119:$L119)</f>
        <v>0.1138509631723123</v>
      </c>
      <c r="O119" s="364">
        <v>0</v>
      </c>
      <c r="P119" s="365">
        <v>8.0581331939346121E-2</v>
      </c>
      <c r="Q119" s="365">
        <v>0.15991498724618819</v>
      </c>
      <c r="R119" s="365">
        <v>0.27397323140221969</v>
      </c>
      <c r="S119" s="365">
        <v>0.30231929611186675</v>
      </c>
      <c r="T119" s="365">
        <v>0.31479747808274022</v>
      </c>
      <c r="U119" s="365">
        <v>0.31941547779169177</v>
      </c>
      <c r="V119" s="365">
        <v>0.3227824334340702</v>
      </c>
      <c r="W119" s="365">
        <v>0.32616310914225144</v>
      </c>
      <c r="X119" s="365">
        <v>0.32493368639696957</v>
      </c>
      <c r="Y119" s="399">
        <v>0.32411508282139179</v>
      </c>
      <c r="Z119" s="328">
        <f>SUMPRODUCT($O$74:$Y$74,$O119:$Y119)</f>
        <v>0.10279800285416676</v>
      </c>
      <c r="AA119" s="330">
        <f t="shared" si="82"/>
        <v>8.5924188384389755E-2</v>
      </c>
      <c r="AB119" s="1056">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1057">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335">
        <f t="shared" si="88"/>
        <v>0</v>
      </c>
      <c r="AE119" s="1043">
        <f t="shared" si="85"/>
        <v>0.14095947855335414</v>
      </c>
      <c r="AF119" s="1043">
        <f t="shared" si="86"/>
        <v>0.10279800285416676</v>
      </c>
      <c r="AG119" s="1043">
        <f t="shared" si="87"/>
        <v>0.2437574814075209</v>
      </c>
      <c r="AH119" s="1280">
        <f t="shared" si="83"/>
        <v>0.57827754758301742</v>
      </c>
      <c r="AI119" s="1043">
        <f t="shared" si="84"/>
        <v>0.42172245241698264</v>
      </c>
      <c r="AK119" s="1279"/>
      <c r="AL119" s="1279"/>
    </row>
    <row r="120" spans="1:39" x14ac:dyDescent="0.2">
      <c r="B120" s="245" t="str">
        <f>"Output generated: "&amp; TEXT($L$4,"m/dd/yyyy hh:mm")</f>
        <v>Output generated: 2/21/2020 18:23</v>
      </c>
      <c r="O120" s="245" t="str">
        <f>"Output generated: "&amp; TEXT($L$5,"m/dd/yyyy hh:mm")</f>
        <v>Output generated: 2/21/2020 18:23</v>
      </c>
      <c r="AB120"/>
      <c r="AC120"/>
      <c r="AD120"/>
      <c r="AE120" s="1043"/>
      <c r="AF120" s="1043"/>
      <c r="AG120" s="1043"/>
      <c r="AH120" s="1043"/>
      <c r="AI120" s="1043"/>
    </row>
    <row r="121" spans="1:39" ht="13.5" thickBot="1" x14ac:dyDescent="0.25">
      <c r="AE121" s="1043"/>
      <c r="AF121" s="1043"/>
      <c r="AG121" s="1043"/>
      <c r="AH121" s="1043"/>
      <c r="AI121" s="1043"/>
    </row>
    <row r="122" spans="1:39" ht="15" x14ac:dyDescent="0.25">
      <c r="A122" s="351"/>
      <c r="B122" s="1561" t="s">
        <v>262</v>
      </c>
      <c r="C122" s="1562"/>
      <c r="D122" s="1562"/>
      <c r="E122" s="1562"/>
      <c r="F122" s="1562"/>
      <c r="G122" s="1562"/>
      <c r="H122" s="1562"/>
      <c r="I122" s="1562"/>
      <c r="J122" s="1562"/>
      <c r="K122" s="1562"/>
      <c r="L122" s="1562"/>
      <c r="M122" s="1562"/>
      <c r="N122" s="1563"/>
      <c r="O122" s="1561" t="s">
        <v>263</v>
      </c>
      <c r="P122" s="1562"/>
      <c r="Q122" s="1562"/>
      <c r="R122" s="1562"/>
      <c r="S122" s="1562"/>
      <c r="T122" s="1562"/>
      <c r="U122" s="1562"/>
      <c r="V122" s="1562"/>
      <c r="W122" s="1562"/>
      <c r="X122" s="1562"/>
      <c r="Y122" s="1562"/>
      <c r="Z122" s="1562"/>
      <c r="AA122" s="1563"/>
      <c r="AE122" s="1043"/>
      <c r="AF122" s="1043"/>
      <c r="AG122" s="1043"/>
      <c r="AH122" s="1043"/>
      <c r="AI122" s="1043"/>
    </row>
    <row r="123" spans="1:39" x14ac:dyDescent="0.2">
      <c r="A123" s="342"/>
      <c r="B123" s="1558" t="s">
        <v>121</v>
      </c>
      <c r="C123" s="1559"/>
      <c r="D123" s="1559"/>
      <c r="E123" s="1559"/>
      <c r="F123" s="1559"/>
      <c r="G123" s="1559"/>
      <c r="H123" s="1559"/>
      <c r="I123" s="1559"/>
      <c r="J123" s="1559"/>
      <c r="K123" s="1559"/>
      <c r="L123" s="1559"/>
      <c r="M123" s="400"/>
      <c r="N123" s="343"/>
      <c r="O123" s="1558" t="s">
        <v>121</v>
      </c>
      <c r="P123" s="1559"/>
      <c r="Q123" s="1559"/>
      <c r="R123" s="1559"/>
      <c r="S123" s="1559"/>
      <c r="T123" s="1559"/>
      <c r="U123" s="1559"/>
      <c r="V123" s="1559"/>
      <c r="W123" s="1559"/>
      <c r="X123" s="1559"/>
      <c r="Y123" s="1559"/>
      <c r="Z123" s="400"/>
      <c r="AA123" s="343"/>
      <c r="AC123" s="1060" t="s">
        <v>276</v>
      </c>
      <c r="AD123" s="252" t="b">
        <f>INDEX(TECH_OPT_FUEL2_Cls1,MATCH(RIGHT(O122),TECH_OPT_ROWS_Cls1,0))&lt;&gt;"N/A"</f>
        <v>0</v>
      </c>
      <c r="AE123" s="1043"/>
      <c r="AF123" s="1043"/>
      <c r="AG123" s="1043"/>
      <c r="AH123" s="1043"/>
      <c r="AI123" s="1043"/>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2"/>
      <c r="AC124" s="1060" t="s">
        <v>277</v>
      </c>
      <c r="AD124" s="252">
        <f>MATCH(RIGHT(O122),TECH_OPT_ROWS_Cls1,0)</f>
        <v>3</v>
      </c>
      <c r="AE124" s="1043"/>
      <c r="AF124" s="1043"/>
      <c r="AG124" s="1043"/>
      <c r="AH124" s="1043"/>
      <c r="AI124" s="1043"/>
    </row>
    <row r="125" spans="1:39" ht="14.25" thickTop="1" thickBot="1" x14ac:dyDescent="0.25">
      <c r="A125" s="366" t="s">
        <v>124</v>
      </c>
      <c r="B125" s="358">
        <f t="array" ref="B125:L125">TRANSPOSE(Cls2CentTruckShr)</f>
        <v>3.9559734044076443E-2</v>
      </c>
      <c r="C125" s="359">
        <v>8.9650908809480775E-2</v>
      </c>
      <c r="D125" s="359">
        <v>9.1857251580802685E-2</v>
      </c>
      <c r="E125" s="359">
        <v>9.271536797287637E-2</v>
      </c>
      <c r="F125" s="359">
        <v>0.10920126324528824</v>
      </c>
      <c r="G125" s="359">
        <v>4.7813378096654632E-2</v>
      </c>
      <c r="H125" s="359">
        <v>5.2826626309680449E-2</v>
      </c>
      <c r="I125" s="359">
        <v>3.3324854637922362E-2</v>
      </c>
      <c r="J125" s="359">
        <v>1.4796369103015083E-2</v>
      </c>
      <c r="K125" s="359">
        <v>6.5522293759777608E-3</v>
      </c>
      <c r="L125" s="396">
        <v>1.1207747736094297E-2</v>
      </c>
      <c r="M125" s="402"/>
      <c r="N125" s="354"/>
      <c r="O125" s="358">
        <f t="array" ref="O125:Y125">TRANSPOSE(Cls2NCentTruckShr)</f>
        <v>4.6052840844996765E-2</v>
      </c>
      <c r="P125" s="359">
        <v>6.7033462620106746E-2</v>
      </c>
      <c r="Q125" s="359">
        <v>6.2316087841293416E-2</v>
      </c>
      <c r="R125" s="359">
        <v>6.9108422941336428E-2</v>
      </c>
      <c r="S125" s="359">
        <v>7.8222088301235171E-2</v>
      </c>
      <c r="T125" s="359">
        <v>3.5529474750239771E-2</v>
      </c>
      <c r="U125" s="359">
        <v>3.0248313910710867E-2</v>
      </c>
      <c r="V125" s="359">
        <v>8.2628405675757074E-3</v>
      </c>
      <c r="W125" s="359">
        <v>6.4250307191884484E-3</v>
      </c>
      <c r="X125" s="359">
        <v>1.9993158802676368E-3</v>
      </c>
      <c r="Y125" s="1317">
        <v>5.2963907111801883E-3</v>
      </c>
      <c r="Z125" s="1322"/>
      <c r="AA125" s="1323"/>
    </row>
    <row r="126" spans="1:39" x14ac:dyDescent="0.2">
      <c r="A126" s="349" t="s">
        <v>125</v>
      </c>
      <c r="B126" s="1029">
        <f t="array" ref="B126:L126">TRANSPOSE(Cls2CentVMTShr)</f>
        <v>6.3375455551975849E-3</v>
      </c>
      <c r="C126" s="1030">
        <v>3.496913005496359E-2</v>
      </c>
      <c r="D126" s="1030">
        <v>5.9955127131675522E-2</v>
      </c>
      <c r="E126" s="1030">
        <v>8.4599669387910512E-2</v>
      </c>
      <c r="F126" s="1030">
        <v>0.12702701008436962</v>
      </c>
      <c r="G126" s="1030">
        <v>6.7204731283582092E-2</v>
      </c>
      <c r="H126" s="1030">
        <v>8.8708982453757024E-2</v>
      </c>
      <c r="I126" s="1030">
        <v>6.4694225377098208E-2</v>
      </c>
      <c r="J126" s="1030">
        <v>3.2526447027526634E-2</v>
      </c>
      <c r="K126" s="1030">
        <v>1.589064319454132E-2</v>
      </c>
      <c r="L126" s="1318">
        <v>3.2608183213810787E-2</v>
      </c>
      <c r="M126" s="1319"/>
      <c r="N126" s="1320"/>
      <c r="O126" s="1029">
        <f t="array" ref="O126:Y126">TRANSPOSE(Cls2NCentVMTShr)</f>
        <v>8.1228463417563086E-3</v>
      </c>
      <c r="P126" s="1030">
        <v>2.7563836768431361E-2</v>
      </c>
      <c r="Q126" s="1030">
        <v>4.1883113088337191E-2</v>
      </c>
      <c r="R126" s="1030">
        <v>6.4289357588678764E-2</v>
      </c>
      <c r="S126" s="1030">
        <v>9.1183275251204537E-2</v>
      </c>
      <c r="T126" s="1030">
        <v>5.1984283219922628E-2</v>
      </c>
      <c r="U126" s="1030">
        <v>5.0286059545109812E-2</v>
      </c>
      <c r="V126" s="1030">
        <v>1.5542287574292338E-2</v>
      </c>
      <c r="W126" s="1030">
        <v>1.4506257462625264E-2</v>
      </c>
      <c r="X126" s="1030">
        <v>4.9330966304706684E-3</v>
      </c>
      <c r="Y126" s="1031">
        <v>1.5183891764738403E-2</v>
      </c>
      <c r="Z126" s="1319"/>
      <c r="AA126" s="1320"/>
      <c r="AB126" s="1574" t="str">
        <f>"% of miles on f2 for Tech "&amp; RIGHT(O121)&amp;" adopters"</f>
        <v>% of miles on f2 for Tech  adopters</v>
      </c>
      <c r="AC126" s="1575"/>
      <c r="AD126" s="1576"/>
      <c r="AE126" s="1043" t="s">
        <v>314</v>
      </c>
      <c r="AF126" s="1043"/>
      <c r="AG126" s="1043"/>
      <c r="AH126" s="1280" t="s">
        <v>315</v>
      </c>
      <c r="AI126" s="1043"/>
    </row>
    <row r="127" spans="1:39" ht="13.5" thickBot="1" x14ac:dyDescent="0.25">
      <c r="A127" s="1048" t="s">
        <v>275</v>
      </c>
      <c r="B127" s="1039">
        <f t="array" ref="B127:L127">TRANSPOSE(Cls2CentVMT/OPDAYS_Cls2)</f>
        <v>49.332453271995263</v>
      </c>
      <c r="C127" s="1040">
        <v>120.11441047790339</v>
      </c>
      <c r="D127" s="1040">
        <v>200.99157969807086</v>
      </c>
      <c r="E127" s="1040">
        <v>280.98421424125928</v>
      </c>
      <c r="F127" s="1040">
        <v>358.20644524895255</v>
      </c>
      <c r="G127" s="1040">
        <v>432.82805471770689</v>
      </c>
      <c r="H127" s="1040">
        <v>517.10615118099815</v>
      </c>
      <c r="I127" s="1040">
        <v>597.8087063838957</v>
      </c>
      <c r="J127" s="1040">
        <v>676.93419409560215</v>
      </c>
      <c r="K127" s="1040">
        <v>746.82245226325631</v>
      </c>
      <c r="L127" s="1041">
        <v>895.92826380844349</v>
      </c>
      <c r="M127" s="1037"/>
      <c r="N127" s="1038"/>
      <c r="O127" s="1039">
        <f t="array" ref="O127:Y127">TRANSPOSE(Cls2NCentVMT/OPDAYS_Cls2)</f>
        <v>54.31462614952413</v>
      </c>
      <c r="P127" s="1040">
        <v>126.62311644744663</v>
      </c>
      <c r="Q127" s="1040">
        <v>206.96826351576016</v>
      </c>
      <c r="R127" s="1040">
        <v>286.46600131499179</v>
      </c>
      <c r="S127" s="1040">
        <v>358.9638908170715</v>
      </c>
      <c r="T127" s="1040">
        <v>450.55545819643328</v>
      </c>
      <c r="U127" s="1040">
        <v>511.93098482414172</v>
      </c>
      <c r="V127" s="1040">
        <v>579.22933632093111</v>
      </c>
      <c r="W127" s="1040">
        <v>695.25665569614875</v>
      </c>
      <c r="X127" s="1040">
        <v>759.80682330760794</v>
      </c>
      <c r="Y127" s="1321">
        <v>882.81167173661356</v>
      </c>
      <c r="Z127" s="1049"/>
      <c r="AA127" s="1038"/>
      <c r="AB127" s="1051" t="s">
        <v>188</v>
      </c>
      <c r="AC127" s="1052" t="s">
        <v>15</v>
      </c>
      <c r="AD127" s="1053" t="s">
        <v>18</v>
      </c>
      <c r="AE127" s="1043" t="s">
        <v>188</v>
      </c>
      <c r="AF127" s="1043" t="s">
        <v>15</v>
      </c>
      <c r="AG127" s="1043" t="s">
        <v>18</v>
      </c>
      <c r="AH127" s="1280" t="s">
        <v>188</v>
      </c>
      <c r="AI127" s="1043" t="s">
        <v>15</v>
      </c>
      <c r="AJ127" s="341"/>
      <c r="AK127" s="341"/>
      <c r="AL127" s="341"/>
      <c r="AM127" s="341"/>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SUMPRODUCT($B$126:$L$126,$B128:$L128)</f>
        <v>0</v>
      </c>
      <c r="N128" s="355">
        <f>SUMPRODUCT($B$125:$L$125,$B128:$L128)</f>
        <v>0</v>
      </c>
      <c r="O128" s="360">
        <v>0</v>
      </c>
      <c r="P128" s="361">
        <v>0</v>
      </c>
      <c r="Q128" s="361">
        <v>0</v>
      </c>
      <c r="R128" s="361">
        <v>0</v>
      </c>
      <c r="S128" s="361">
        <v>0</v>
      </c>
      <c r="T128" s="361">
        <v>0</v>
      </c>
      <c r="U128" s="361">
        <v>0</v>
      </c>
      <c r="V128" s="361">
        <v>0</v>
      </c>
      <c r="W128" s="361">
        <v>0</v>
      </c>
      <c r="X128" s="361">
        <v>0</v>
      </c>
      <c r="Y128" s="397">
        <v>0</v>
      </c>
      <c r="Z128" s="405">
        <f t="shared" ref="Z128:Z171" si="89">SUMPRODUCT($O$126:$Y$126,$O128:$Y128)</f>
        <v>0</v>
      </c>
      <c r="AA128" s="355">
        <f t="shared" ref="AA128:AA171" si="90">SUMPRODUCT($O$125:$Y$125,$O128:$Y128)</f>
        <v>0</v>
      </c>
      <c r="AB128" s="1054">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1055">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334">
        <f>AB128*AH128+AC128*AI128</f>
        <v>0</v>
      </c>
      <c r="AE128" s="1043">
        <f t="shared" ref="AE128" si="91">SUMPRODUCT($B$74:$L$74,B128:L128)</f>
        <v>0</v>
      </c>
      <c r="AF128" s="1043">
        <f t="shared" ref="AF128" si="92">SUMPRODUCT($O$74:$Y$74,O128:Y128)</f>
        <v>0</v>
      </c>
      <c r="AG128" s="1043">
        <f t="shared" ref="AG128" si="93">SUM(AE128:AF128)</f>
        <v>0</v>
      </c>
      <c r="AH128" s="1280">
        <f>IF(AG128&gt;0,AE128/AG128,0)</f>
        <v>0</v>
      </c>
      <c r="AI128" s="1043">
        <f>IF(AG128&gt;0,AF128/AG128,0)</f>
        <v>0</v>
      </c>
    </row>
    <row r="129" spans="1:35"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4">SUMPRODUCT($B$126:$L$126,$B129:$L129)</f>
        <v>0</v>
      </c>
      <c r="N129" s="316">
        <f t="shared" ref="N129:N171" si="95">SUMPRODUCT($B$125:$L$125,$B129:$L129)</f>
        <v>0</v>
      </c>
      <c r="O129" s="362">
        <v>0</v>
      </c>
      <c r="P129" s="363">
        <v>0</v>
      </c>
      <c r="Q129" s="363">
        <v>0</v>
      </c>
      <c r="R129" s="363">
        <v>0</v>
      </c>
      <c r="S129" s="363">
        <v>0</v>
      </c>
      <c r="T129" s="363">
        <v>0</v>
      </c>
      <c r="U129" s="363">
        <v>0</v>
      </c>
      <c r="V129" s="363">
        <v>0</v>
      </c>
      <c r="W129" s="363">
        <v>0</v>
      </c>
      <c r="X129" s="363">
        <v>0</v>
      </c>
      <c r="Y129" s="398">
        <v>0</v>
      </c>
      <c r="Z129" s="314">
        <f t="shared" si="89"/>
        <v>0</v>
      </c>
      <c r="AA129" s="316">
        <f t="shared" si="90"/>
        <v>0</v>
      </c>
      <c r="AB129" s="1054">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1055">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334">
        <f t="shared" ref="AD129:AD153" si="96">AB129*AH129+AC129*AI129</f>
        <v>0</v>
      </c>
      <c r="AE129" s="1043">
        <f t="shared" ref="AE129:AE143" si="97">SUMPRODUCT($B$74:$L$74,B129:L129)</f>
        <v>0</v>
      </c>
      <c r="AF129" s="1043">
        <f t="shared" ref="AF129:AF143" si="98">SUMPRODUCT($O$74:$Y$74,O129:Y129)</f>
        <v>0</v>
      </c>
      <c r="AG129" s="1043">
        <f t="shared" ref="AG129:AG143" si="99">SUM(AE129:AF129)</f>
        <v>0</v>
      </c>
      <c r="AH129" s="1280">
        <f>IF(AG129&gt;0,AE129/AG129,0)</f>
        <v>0</v>
      </c>
      <c r="AI129" s="1043">
        <f>IF(AG129&gt;0,AF129/AG129,0)</f>
        <v>0</v>
      </c>
    </row>
    <row r="130" spans="1:35"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89"/>
        <v>0</v>
      </c>
      <c r="AA130" s="316">
        <f t="shared" si="90"/>
        <v>0</v>
      </c>
      <c r="AB130" s="1054">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1055">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334">
        <f t="shared" si="96"/>
        <v>0</v>
      </c>
      <c r="AE130" s="1043">
        <f t="shared" si="97"/>
        <v>0</v>
      </c>
      <c r="AF130" s="1043">
        <f t="shared" si="98"/>
        <v>0</v>
      </c>
      <c r="AG130" s="1043">
        <f t="shared" si="99"/>
        <v>0</v>
      </c>
      <c r="AH130" s="1280">
        <f t="shared" ref="AH130:AH172" si="100">IF(AG130&gt;0,AE130/AG130,0)</f>
        <v>0</v>
      </c>
      <c r="AI130" s="1043">
        <f t="shared" ref="AI130:AI172" si="101">IF(AG130&gt;0,AF130/AG130,0)</f>
        <v>0</v>
      </c>
    </row>
    <row r="131" spans="1:35"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89"/>
        <v>0</v>
      </c>
      <c r="AA131" s="330">
        <f t="shared" si="90"/>
        <v>0</v>
      </c>
      <c r="AB131" s="1054">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1055">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334">
        <f t="shared" si="96"/>
        <v>0</v>
      </c>
      <c r="AE131" s="1043">
        <f t="shared" si="97"/>
        <v>0</v>
      </c>
      <c r="AF131" s="1043">
        <f t="shared" si="98"/>
        <v>0</v>
      </c>
      <c r="AG131" s="1043">
        <f t="shared" si="99"/>
        <v>0</v>
      </c>
      <c r="AH131" s="1280">
        <f t="shared" si="100"/>
        <v>0</v>
      </c>
      <c r="AI131" s="1043">
        <f t="shared" si="101"/>
        <v>0</v>
      </c>
    </row>
    <row r="132" spans="1:35"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89"/>
        <v>0</v>
      </c>
      <c r="AA132" s="302">
        <f t="shared" si="90"/>
        <v>0</v>
      </c>
      <c r="AB132" s="1054">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1055">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334">
        <f t="shared" si="96"/>
        <v>0</v>
      </c>
      <c r="AE132" s="1043">
        <f t="shared" si="97"/>
        <v>0</v>
      </c>
      <c r="AF132" s="1043">
        <f t="shared" si="98"/>
        <v>0</v>
      </c>
      <c r="AG132" s="1043">
        <f t="shared" si="99"/>
        <v>0</v>
      </c>
      <c r="AH132" s="1280">
        <f t="shared" si="100"/>
        <v>0</v>
      </c>
      <c r="AI132" s="1043">
        <f t="shared" si="101"/>
        <v>0</v>
      </c>
    </row>
    <row r="133" spans="1:35"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89"/>
        <v>0</v>
      </c>
      <c r="AA133" s="316">
        <f t="shared" si="90"/>
        <v>0</v>
      </c>
      <c r="AB133" s="1054">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1055">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334">
        <f t="shared" si="96"/>
        <v>0</v>
      </c>
      <c r="AE133" s="1043">
        <f t="shared" si="97"/>
        <v>0</v>
      </c>
      <c r="AF133" s="1043">
        <f t="shared" si="98"/>
        <v>0</v>
      </c>
      <c r="AG133" s="1043">
        <f t="shared" si="99"/>
        <v>0</v>
      </c>
      <c r="AH133" s="1280">
        <f t="shared" si="100"/>
        <v>0</v>
      </c>
      <c r="AI133" s="1043">
        <f t="shared" si="101"/>
        <v>0</v>
      </c>
    </row>
    <row r="134" spans="1:35"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89"/>
        <v>0</v>
      </c>
      <c r="AA134" s="316">
        <f t="shared" si="90"/>
        <v>0</v>
      </c>
      <c r="AB134" s="1054">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1055">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334">
        <f t="shared" si="96"/>
        <v>0</v>
      </c>
      <c r="AE134" s="1043">
        <f t="shared" si="97"/>
        <v>0</v>
      </c>
      <c r="AF134" s="1043">
        <f t="shared" si="98"/>
        <v>0</v>
      </c>
      <c r="AG134" s="1043">
        <f t="shared" si="99"/>
        <v>0</v>
      </c>
      <c r="AH134" s="1280">
        <f t="shared" si="100"/>
        <v>0</v>
      </c>
      <c r="AI134" s="1043">
        <f t="shared" si="101"/>
        <v>0</v>
      </c>
    </row>
    <row r="135" spans="1:35"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89"/>
        <v>0</v>
      </c>
      <c r="AA135" s="316">
        <f t="shared" si="90"/>
        <v>0</v>
      </c>
      <c r="AB135" s="1054">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1055">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334">
        <f t="shared" si="96"/>
        <v>0</v>
      </c>
      <c r="AE135" s="1043">
        <f t="shared" si="97"/>
        <v>0</v>
      </c>
      <c r="AF135" s="1043">
        <f t="shared" si="98"/>
        <v>0</v>
      </c>
      <c r="AG135" s="1043">
        <f t="shared" si="99"/>
        <v>0</v>
      </c>
      <c r="AH135" s="1280">
        <f t="shared" si="100"/>
        <v>0</v>
      </c>
      <c r="AI135" s="1043">
        <f t="shared" si="101"/>
        <v>0</v>
      </c>
    </row>
    <row r="136" spans="1:35"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89"/>
        <v>0</v>
      </c>
      <c r="AA136" s="330">
        <f t="shared" si="90"/>
        <v>0</v>
      </c>
      <c r="AB136" s="1054">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1055">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334">
        <f t="shared" si="96"/>
        <v>0</v>
      </c>
      <c r="AE136" s="1043">
        <f t="shared" si="97"/>
        <v>0</v>
      </c>
      <c r="AF136" s="1043">
        <f t="shared" si="98"/>
        <v>0</v>
      </c>
      <c r="AG136" s="1043">
        <f t="shared" si="99"/>
        <v>0</v>
      </c>
      <c r="AH136" s="1280">
        <f t="shared" si="100"/>
        <v>0</v>
      </c>
      <c r="AI136" s="1043">
        <f t="shared" si="101"/>
        <v>0</v>
      </c>
    </row>
    <row r="137" spans="1:35"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89"/>
        <v>0</v>
      </c>
      <c r="AA137" s="302">
        <f t="shared" si="90"/>
        <v>0</v>
      </c>
      <c r="AB137" s="1054">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1055">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334">
        <f t="shared" si="96"/>
        <v>0</v>
      </c>
      <c r="AE137" s="1043">
        <f t="shared" si="97"/>
        <v>0</v>
      </c>
      <c r="AF137" s="1043">
        <f t="shared" si="98"/>
        <v>0</v>
      </c>
      <c r="AG137" s="1043">
        <f t="shared" si="99"/>
        <v>0</v>
      </c>
      <c r="AH137" s="1280">
        <f t="shared" si="100"/>
        <v>0</v>
      </c>
      <c r="AI137" s="1043">
        <f t="shared" si="101"/>
        <v>0</v>
      </c>
    </row>
    <row r="138" spans="1:35"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89"/>
        <v>0</v>
      </c>
      <c r="AA138" s="316">
        <f t="shared" si="90"/>
        <v>0</v>
      </c>
      <c r="AB138" s="1054">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1055">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334">
        <f t="shared" si="96"/>
        <v>0</v>
      </c>
      <c r="AE138" s="1043">
        <f t="shared" si="97"/>
        <v>0</v>
      </c>
      <c r="AF138" s="1043">
        <f t="shared" si="98"/>
        <v>0</v>
      </c>
      <c r="AG138" s="1043">
        <f t="shared" si="99"/>
        <v>0</v>
      </c>
      <c r="AH138" s="1280">
        <f t="shared" si="100"/>
        <v>0</v>
      </c>
      <c r="AI138" s="1043">
        <f t="shared" si="101"/>
        <v>0</v>
      </c>
    </row>
    <row r="139" spans="1:35"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89"/>
        <v>0</v>
      </c>
      <c r="AA139" s="316">
        <f t="shared" si="90"/>
        <v>0</v>
      </c>
      <c r="AB139" s="1054">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1055">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334">
        <f t="shared" si="96"/>
        <v>0</v>
      </c>
      <c r="AE139" s="1043">
        <f t="shared" si="97"/>
        <v>0</v>
      </c>
      <c r="AF139" s="1043">
        <f t="shared" si="98"/>
        <v>0</v>
      </c>
      <c r="AG139" s="1043">
        <f t="shared" si="99"/>
        <v>0</v>
      </c>
      <c r="AH139" s="1280">
        <f t="shared" si="100"/>
        <v>0</v>
      </c>
      <c r="AI139" s="1043">
        <f t="shared" si="101"/>
        <v>0</v>
      </c>
    </row>
    <row r="140" spans="1:35"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89"/>
        <v>0</v>
      </c>
      <c r="AA140" s="316">
        <f t="shared" si="90"/>
        <v>0</v>
      </c>
      <c r="AB140" s="1054">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1055">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334">
        <f t="shared" si="96"/>
        <v>0</v>
      </c>
      <c r="AE140" s="1043">
        <f t="shared" si="97"/>
        <v>0</v>
      </c>
      <c r="AF140" s="1043">
        <f t="shared" si="98"/>
        <v>0</v>
      </c>
      <c r="AG140" s="1043">
        <f t="shared" si="99"/>
        <v>0</v>
      </c>
      <c r="AH140" s="1280">
        <f t="shared" si="100"/>
        <v>0</v>
      </c>
      <c r="AI140" s="1043">
        <f t="shared" si="101"/>
        <v>0</v>
      </c>
    </row>
    <row r="141" spans="1:35"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89"/>
        <v>0</v>
      </c>
      <c r="AA141" s="330">
        <f t="shared" si="90"/>
        <v>0</v>
      </c>
      <c r="AB141" s="1054">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1055">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334">
        <f t="shared" si="96"/>
        <v>0</v>
      </c>
      <c r="AE141" s="1043">
        <f t="shared" si="97"/>
        <v>0</v>
      </c>
      <c r="AF141" s="1043">
        <f t="shared" si="98"/>
        <v>0</v>
      </c>
      <c r="AG141" s="1043">
        <f t="shared" si="99"/>
        <v>0</v>
      </c>
      <c r="AH141" s="1280">
        <f t="shared" si="100"/>
        <v>0</v>
      </c>
      <c r="AI141" s="1043">
        <f t="shared" si="101"/>
        <v>0</v>
      </c>
    </row>
    <row r="142" spans="1:35" x14ac:dyDescent="0.2">
      <c r="A142" s="347">
        <v>2021</v>
      </c>
      <c r="B142" s="360">
        <v>1.1537312339601806E-2</v>
      </c>
      <c r="C142" s="361">
        <v>1.1537312339601806E-2</v>
      </c>
      <c r="D142" s="361">
        <v>1.1537312339601806E-2</v>
      </c>
      <c r="E142" s="361">
        <v>1.3006973455948078E-2</v>
      </c>
      <c r="F142" s="361">
        <v>1.3995953876690788E-2</v>
      </c>
      <c r="G142" s="361">
        <v>1.4553820173558395E-2</v>
      </c>
      <c r="H142" s="361">
        <v>1.4839232967160111E-2</v>
      </c>
      <c r="I142" s="361">
        <v>1.7218605023263774E-2</v>
      </c>
      <c r="J142" s="361">
        <v>1.9073324702149834E-2</v>
      </c>
      <c r="K142" s="361">
        <v>2.0218198285950315E-2</v>
      </c>
      <c r="L142" s="397">
        <v>2.1642720032339035E-2</v>
      </c>
      <c r="M142" s="300">
        <f t="shared" si="94"/>
        <v>9.1023394601494126E-3</v>
      </c>
      <c r="N142" s="302">
        <f t="shared" si="95"/>
        <v>7.9956893225405848E-3</v>
      </c>
      <c r="O142" s="360">
        <v>1.1537312339601806E-2</v>
      </c>
      <c r="P142" s="361">
        <v>1.1537312339601806E-2</v>
      </c>
      <c r="Q142" s="361">
        <v>1.1537312339601806E-2</v>
      </c>
      <c r="R142" s="361">
        <v>1.3280473590760358E-2</v>
      </c>
      <c r="S142" s="361">
        <v>1.4199383290848664E-2</v>
      </c>
      <c r="T142" s="361">
        <v>1.4704862887569357E-2</v>
      </c>
      <c r="U142" s="361">
        <v>1.5208243537809295E-2</v>
      </c>
      <c r="V142" s="361">
        <v>1.7218605023263774E-2</v>
      </c>
      <c r="W142" s="361">
        <v>1.970811530854617E-2</v>
      </c>
      <c r="X142" s="361">
        <v>2.0698204146004404E-2</v>
      </c>
      <c r="Y142" s="397">
        <v>2.1642720032339035E-2</v>
      </c>
      <c r="Z142" s="300">
        <f t="shared" si="89"/>
        <v>5.5569052199318054E-3</v>
      </c>
      <c r="AA142" s="302">
        <f t="shared" si="90"/>
        <v>5.4595603361822361E-3</v>
      </c>
      <c r="AB142" s="1054">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1055">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334">
        <f t="shared" si="96"/>
        <v>0</v>
      </c>
      <c r="AE142" s="1043">
        <f t="shared" si="97"/>
        <v>9.1023394601494126E-3</v>
      </c>
      <c r="AF142" s="1043">
        <f t="shared" si="98"/>
        <v>5.5569052199318054E-3</v>
      </c>
      <c r="AG142" s="1043">
        <f t="shared" si="99"/>
        <v>1.4659244680081219E-2</v>
      </c>
      <c r="AH142" s="1280">
        <f t="shared" si="100"/>
        <v>0.62092827146254992</v>
      </c>
      <c r="AI142" s="1043">
        <f t="shared" si="101"/>
        <v>0.37907172853744997</v>
      </c>
    </row>
    <row r="143" spans="1:35" x14ac:dyDescent="0.2">
      <c r="A143" s="348">
        <v>2022</v>
      </c>
      <c r="B143" s="362">
        <v>2.3872676274455978E-2</v>
      </c>
      <c r="C143" s="363">
        <v>2.3872676274455978E-2</v>
      </c>
      <c r="D143" s="363">
        <v>2.3872676274455978E-2</v>
      </c>
      <c r="E143" s="363">
        <v>2.5468394045130464E-2</v>
      </c>
      <c r="F143" s="363">
        <v>3.2309845635414683E-2</v>
      </c>
      <c r="G143" s="363">
        <v>4.1069964768412591E-2</v>
      </c>
      <c r="H143" s="363">
        <v>4.8015122780454854E-2</v>
      </c>
      <c r="I143" s="363">
        <v>5.1962939281151171E-2</v>
      </c>
      <c r="J143" s="363">
        <v>5.4799223963464545E-2</v>
      </c>
      <c r="K143" s="363">
        <v>5.5657042139668003E-2</v>
      </c>
      <c r="L143" s="398">
        <v>5.7665204780615008E-2</v>
      </c>
      <c r="M143" s="314">
        <f t="shared" si="94"/>
        <v>2.3604609590532399E-2</v>
      </c>
      <c r="N143" s="316">
        <f t="shared" si="95"/>
        <v>1.9220702182196694E-2</v>
      </c>
      <c r="O143" s="362">
        <v>2.3872676274455978E-2</v>
      </c>
      <c r="P143" s="363">
        <v>2.3872676274455978E-2</v>
      </c>
      <c r="Q143" s="363">
        <v>2.3872676274455978E-2</v>
      </c>
      <c r="R143" s="363">
        <v>2.6463766851277399E-2</v>
      </c>
      <c r="S143" s="363">
        <v>3.5711753483041092E-2</v>
      </c>
      <c r="T143" s="363">
        <v>4.4905603061415514E-2</v>
      </c>
      <c r="U143" s="363">
        <v>4.9219717961793127E-2</v>
      </c>
      <c r="V143" s="363">
        <v>5.2435226050730047E-2</v>
      </c>
      <c r="W143" s="363">
        <v>5.5657042139668003E-2</v>
      </c>
      <c r="X143" s="363">
        <v>5.6758652298056919E-2</v>
      </c>
      <c r="Y143" s="398">
        <v>5.8248051926990264E-2</v>
      </c>
      <c r="Z143" s="314">
        <f t="shared" si="89"/>
        <v>1.4405669884599256E-2</v>
      </c>
      <c r="AA143" s="316">
        <f t="shared" si="90"/>
        <v>1.3106772636085322E-2</v>
      </c>
      <c r="AB143" s="1054">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1055">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334">
        <f t="shared" si="96"/>
        <v>0</v>
      </c>
      <c r="AE143" s="1043">
        <f t="shared" si="97"/>
        <v>2.3604609590532399E-2</v>
      </c>
      <c r="AF143" s="1043">
        <f t="shared" si="98"/>
        <v>1.4405669884599256E-2</v>
      </c>
      <c r="AG143" s="1043">
        <f t="shared" si="99"/>
        <v>3.8010279475131657E-2</v>
      </c>
      <c r="AH143" s="1280">
        <f t="shared" si="100"/>
        <v>0.62100594671964426</v>
      </c>
      <c r="AI143" s="1043">
        <f t="shared" si="101"/>
        <v>0.37899405328035563</v>
      </c>
    </row>
    <row r="144" spans="1:35" x14ac:dyDescent="0.2">
      <c r="A144" s="348">
        <v>2023</v>
      </c>
      <c r="B144" s="362">
        <v>1.7263826294576002E-2</v>
      </c>
      <c r="C144" s="363">
        <v>1.7263826294576002E-2</v>
      </c>
      <c r="D144" s="363">
        <v>2.1684965511082822E-2</v>
      </c>
      <c r="E144" s="363">
        <v>5.6506731726877042E-2</v>
      </c>
      <c r="F144" s="363">
        <v>8.5256355038253545E-2</v>
      </c>
      <c r="G144" s="363">
        <v>0.10400608898295469</v>
      </c>
      <c r="H144" s="363">
        <v>0.11443886881459134</v>
      </c>
      <c r="I144" s="363">
        <v>0.12143722495180051</v>
      </c>
      <c r="J144" s="363">
        <v>0.126185989243639</v>
      </c>
      <c r="K144" s="363">
        <v>0.12868875391829424</v>
      </c>
      <c r="L144" s="398">
        <v>0.13236564724879815</v>
      </c>
      <c r="M144" s="314">
        <f t="shared" si="94"/>
        <v>5.3086823141065997E-2</v>
      </c>
      <c r="N144" s="316">
        <f t="shared" si="95"/>
        <v>3.8030728694742444E-2</v>
      </c>
      <c r="O144" s="362">
        <v>1.7263826294576002E-2</v>
      </c>
      <c r="P144" s="363">
        <v>1.7263826294576002E-2</v>
      </c>
      <c r="Q144" s="363">
        <v>2.7619495908173971E-2</v>
      </c>
      <c r="R144" s="363">
        <v>6.7572128189903491E-2</v>
      </c>
      <c r="S144" s="363">
        <v>9.0897477096648763E-2</v>
      </c>
      <c r="T144" s="363">
        <v>0.10814846766884391</v>
      </c>
      <c r="U144" s="363">
        <v>0.11587211987489639</v>
      </c>
      <c r="V144" s="363">
        <v>0.12143722495180051</v>
      </c>
      <c r="W144" s="363">
        <v>0.12868875391829424</v>
      </c>
      <c r="X144" s="363">
        <v>0.13076686108366775</v>
      </c>
      <c r="Y144" s="398">
        <v>0.13236564724879815</v>
      </c>
      <c r="Z144" s="314">
        <f t="shared" si="89"/>
        <v>3.226326613981876E-2</v>
      </c>
      <c r="AA144" s="316">
        <f t="shared" si="90"/>
        <v>2.5593579505493472E-2</v>
      </c>
      <c r="AB144" s="1054">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1055">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334">
        <f t="shared" si="96"/>
        <v>0</v>
      </c>
      <c r="AE144" s="1043">
        <f>SUMPRODUCT($B$74:$L$74,B144:L144)</f>
        <v>5.3086823141065997E-2</v>
      </c>
      <c r="AF144" s="1043">
        <f>SUMPRODUCT($O$74:$Y$74,O144:Y144)</f>
        <v>3.226326613981876E-2</v>
      </c>
      <c r="AG144" s="1043">
        <f>SUM(AE144:AF144)</f>
        <v>8.535008928088475E-2</v>
      </c>
      <c r="AH144" s="1280">
        <f t="shared" si="100"/>
        <v>0.62198907568050399</v>
      </c>
      <c r="AI144" s="1043">
        <f t="shared" si="101"/>
        <v>0.37801092431949607</v>
      </c>
    </row>
    <row r="145" spans="1:35" x14ac:dyDescent="0.2">
      <c r="A145" s="348">
        <v>2024</v>
      </c>
      <c r="B145" s="362">
        <v>0</v>
      </c>
      <c r="C145" s="363">
        <v>6.0816122595492498E-4</v>
      </c>
      <c r="D145" s="363">
        <v>4.4223454711346442E-2</v>
      </c>
      <c r="E145" s="363">
        <v>0.11641261959074543</v>
      </c>
      <c r="F145" s="363">
        <v>0.16538547592352842</v>
      </c>
      <c r="G145" s="363">
        <v>0.19444370088331717</v>
      </c>
      <c r="H145" s="363">
        <v>0.21648071332662416</v>
      </c>
      <c r="I145" s="363">
        <v>0.22895754541519592</v>
      </c>
      <c r="J145" s="363">
        <v>0.23706838414680165</v>
      </c>
      <c r="K145" s="363">
        <v>0.24134385090524824</v>
      </c>
      <c r="L145" s="398">
        <v>0.24479088051096456</v>
      </c>
      <c r="M145" s="314">
        <f t="shared" si="94"/>
        <v>0.10014142002047995</v>
      </c>
      <c r="N145" s="316">
        <f t="shared" si="95"/>
        <v>6.9165887842306997E-2</v>
      </c>
      <c r="O145" s="362">
        <v>0</v>
      </c>
      <c r="P145" s="363">
        <v>2.5551148425618378E-3</v>
      </c>
      <c r="Q145" s="363">
        <v>6.1857859670582403E-2</v>
      </c>
      <c r="R145" s="363">
        <v>0.13227214485458644</v>
      </c>
      <c r="S145" s="363">
        <v>0.17368952165214194</v>
      </c>
      <c r="T145" s="363">
        <v>0.20950500464970484</v>
      </c>
      <c r="U145" s="363">
        <v>0.22013251831503339</v>
      </c>
      <c r="V145" s="363">
        <v>0.22895754541519592</v>
      </c>
      <c r="W145" s="363">
        <v>0.23895279091848354</v>
      </c>
      <c r="X145" s="363">
        <v>0.24134385090524824</v>
      </c>
      <c r="Y145" s="398">
        <v>0.2473040337677469</v>
      </c>
      <c r="Z145" s="314">
        <f t="shared" si="89"/>
        <v>6.0933508541593642E-2</v>
      </c>
      <c r="AA145" s="316">
        <f t="shared" si="90"/>
        <v>4.6075194828136982E-2</v>
      </c>
      <c r="AB145" s="1054">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1055">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334">
        <f t="shared" si="96"/>
        <v>0</v>
      </c>
      <c r="AE145" s="1043">
        <f t="shared" ref="AE145:AE172" si="102">SUMPRODUCT($B$74:$L$74,B145:L145)</f>
        <v>0.10014142002047995</v>
      </c>
      <c r="AF145" s="1043">
        <f t="shared" ref="AF145:AF172" si="103">SUMPRODUCT($O$74:$Y$74,O145:Y145)</f>
        <v>6.0933508541593642E-2</v>
      </c>
      <c r="AG145" s="1043">
        <f t="shared" ref="AG145:AG172" si="104">SUM(AE145:AF145)</f>
        <v>0.16107492856207359</v>
      </c>
      <c r="AH145" s="1280">
        <f t="shared" si="100"/>
        <v>0.62170705841342877</v>
      </c>
      <c r="AI145" s="1043">
        <f t="shared" si="101"/>
        <v>0.37829294158657129</v>
      </c>
    </row>
    <row r="146" spans="1:35" ht="13.5" thickBot="1" x14ac:dyDescent="0.25">
      <c r="A146" s="346">
        <v>2025</v>
      </c>
      <c r="B146" s="364">
        <v>0</v>
      </c>
      <c r="C146" s="365">
        <v>1.0471235312880113E-3</v>
      </c>
      <c r="D146" s="365">
        <v>6.7510443497742711E-2</v>
      </c>
      <c r="E146" s="365">
        <v>0.17113984258141363</v>
      </c>
      <c r="F146" s="365">
        <v>0.24272776398392007</v>
      </c>
      <c r="G146" s="365">
        <v>0.29001987665960327</v>
      </c>
      <c r="H146" s="365">
        <v>0.31668856971562714</v>
      </c>
      <c r="I146" s="365">
        <v>0.33491077915778233</v>
      </c>
      <c r="J146" s="365">
        <v>0.34609297664483274</v>
      </c>
      <c r="K146" s="365">
        <v>0.35233461200708244</v>
      </c>
      <c r="L146" s="399">
        <v>0.35957344957103898</v>
      </c>
      <c r="M146" s="328">
        <f t="shared" si="94"/>
        <v>0.14722722792483237</v>
      </c>
      <c r="N146" s="330">
        <f t="shared" si="95"/>
        <v>0.10188544821646951</v>
      </c>
      <c r="O146" s="364">
        <v>0</v>
      </c>
      <c r="P146" s="365">
        <v>4.0594530688828302E-3</v>
      </c>
      <c r="Q146" s="365">
        <v>8.8716572553579467E-2</v>
      </c>
      <c r="R146" s="365">
        <v>0.19433667986664344</v>
      </c>
      <c r="S146" s="365">
        <v>0.2548558864019404</v>
      </c>
      <c r="T146" s="365">
        <v>0.30102636688682083</v>
      </c>
      <c r="U146" s="365">
        <v>0.32136868737970287</v>
      </c>
      <c r="V146" s="365">
        <v>0.33491077915778233</v>
      </c>
      <c r="W146" s="365">
        <v>0.34952820826555742</v>
      </c>
      <c r="X146" s="365">
        <v>0.35518910527163361</v>
      </c>
      <c r="Y146" s="399">
        <v>0.35957344957103898</v>
      </c>
      <c r="Z146" s="328">
        <f t="shared" si="89"/>
        <v>8.8856532288076981E-2</v>
      </c>
      <c r="AA146" s="330">
        <f t="shared" si="90"/>
        <v>6.721004022247079E-2</v>
      </c>
      <c r="AB146" s="1054">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1055">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334">
        <f t="shared" si="96"/>
        <v>0</v>
      </c>
      <c r="AE146" s="1043">
        <f t="shared" si="102"/>
        <v>0.14722722792483237</v>
      </c>
      <c r="AF146" s="1043">
        <f t="shared" si="103"/>
        <v>8.8856532288076981E-2</v>
      </c>
      <c r="AG146" s="1043">
        <f t="shared" si="104"/>
        <v>0.23608376021290933</v>
      </c>
      <c r="AH146" s="1280">
        <f t="shared" si="100"/>
        <v>0.62362285229639358</v>
      </c>
      <c r="AI146" s="1043">
        <f t="shared" si="101"/>
        <v>0.37637714770360642</v>
      </c>
    </row>
    <row r="147" spans="1:35" x14ac:dyDescent="0.2">
      <c r="A147" s="347">
        <v>2026</v>
      </c>
      <c r="B147" s="360">
        <v>0</v>
      </c>
      <c r="C147" s="361">
        <v>4.8895859080309552E-3</v>
      </c>
      <c r="D147" s="361">
        <v>0.11648358197464256</v>
      </c>
      <c r="E147" s="361">
        <v>0.24845386136880226</v>
      </c>
      <c r="F147" s="361">
        <v>0.32140342597566329</v>
      </c>
      <c r="G147" s="361">
        <v>0.36917776076107844</v>
      </c>
      <c r="H147" s="361">
        <v>0.39807191382254498</v>
      </c>
      <c r="I147" s="361">
        <v>0.41280840009634889</v>
      </c>
      <c r="J147" s="361">
        <v>0.42437987835742969</v>
      </c>
      <c r="K147" s="361">
        <v>0.42781791136849046</v>
      </c>
      <c r="L147" s="397">
        <v>0.43486004327262212</v>
      </c>
      <c r="M147" s="300">
        <f t="shared" si="94"/>
        <v>0.19061203697205148</v>
      </c>
      <c r="N147" s="302">
        <f t="shared" si="95"/>
        <v>0.13566482491839785</v>
      </c>
      <c r="O147" s="360">
        <v>0</v>
      </c>
      <c r="P147" s="361">
        <v>1.2338353481316143E-2</v>
      </c>
      <c r="Q147" s="361">
        <v>0.14868987474232401</v>
      </c>
      <c r="R147" s="361">
        <v>0.26976353554920596</v>
      </c>
      <c r="S147" s="361">
        <v>0.33555867819561241</v>
      </c>
      <c r="T147" s="361">
        <v>0.38144481471750358</v>
      </c>
      <c r="U147" s="361">
        <v>0.40339308809739827</v>
      </c>
      <c r="V147" s="361">
        <v>0.41280840009634889</v>
      </c>
      <c r="W147" s="361">
        <v>0.42781791136849046</v>
      </c>
      <c r="X147" s="361">
        <v>0.43309876315435109</v>
      </c>
      <c r="Y147" s="397">
        <v>0.43663720423955282</v>
      </c>
      <c r="Z147" s="300">
        <f t="shared" si="89"/>
        <v>0.11601052878324482</v>
      </c>
      <c r="AA147" s="302">
        <f t="shared" si="90"/>
        <v>9.0076597273983913E-2</v>
      </c>
      <c r="AB147" s="1054">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1055">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334">
        <f t="shared" si="96"/>
        <v>0</v>
      </c>
      <c r="AE147" s="1043">
        <f t="shared" si="102"/>
        <v>0.19061203697205148</v>
      </c>
      <c r="AF147" s="1043">
        <f t="shared" si="103"/>
        <v>0.11601052878324482</v>
      </c>
      <c r="AG147" s="1043">
        <f t="shared" si="104"/>
        <v>0.30662256575529628</v>
      </c>
      <c r="AH147" s="1280">
        <f t="shared" si="100"/>
        <v>0.62165038800233519</v>
      </c>
      <c r="AI147" s="1043">
        <f t="shared" si="101"/>
        <v>0.37834961199766481</v>
      </c>
    </row>
    <row r="148" spans="1:35" x14ac:dyDescent="0.2">
      <c r="A148" s="348">
        <v>2027</v>
      </c>
      <c r="B148" s="362">
        <v>0</v>
      </c>
      <c r="C148" s="363">
        <v>1.441960601426294E-2</v>
      </c>
      <c r="D148" s="363">
        <v>0.16759752270516384</v>
      </c>
      <c r="E148" s="363">
        <v>0.3002195345304271</v>
      </c>
      <c r="F148" s="363">
        <v>0.37767998175758671</v>
      </c>
      <c r="G148" s="363">
        <v>0.41850397564404945</v>
      </c>
      <c r="H148" s="363">
        <v>0.44116784896857592</v>
      </c>
      <c r="I148" s="363">
        <v>0.45517426223064217</v>
      </c>
      <c r="J148" s="363">
        <v>0.46254618403086117</v>
      </c>
      <c r="K148" s="363">
        <v>0.46825571085775103</v>
      </c>
      <c r="L148" s="398">
        <v>0.47208138616934014</v>
      </c>
      <c r="M148" s="314">
        <f t="shared" si="94"/>
        <v>0.21851433328918674</v>
      </c>
      <c r="N148" s="316">
        <f t="shared" si="95"/>
        <v>0.15945308033916616</v>
      </c>
      <c r="O148" s="362">
        <v>0</v>
      </c>
      <c r="P148" s="363">
        <v>3.0391935775194511E-2</v>
      </c>
      <c r="Q148" s="363">
        <v>0.20066926565653287</v>
      </c>
      <c r="R148" s="363">
        <v>0.32421921105673451</v>
      </c>
      <c r="S148" s="363">
        <v>0.39201319311417537</v>
      </c>
      <c r="T148" s="363">
        <v>0.43038580061658904</v>
      </c>
      <c r="U148" s="363">
        <v>0.4463182702885648</v>
      </c>
      <c r="V148" s="363">
        <v>0.45517426223064217</v>
      </c>
      <c r="W148" s="363">
        <v>0.46825571085775103</v>
      </c>
      <c r="X148" s="363">
        <v>0.47016004986846544</v>
      </c>
      <c r="Y148" s="398">
        <v>0.47285485585128612</v>
      </c>
      <c r="Z148" s="314">
        <f t="shared" si="89"/>
        <v>0.13401435714861362</v>
      </c>
      <c r="AA148" s="316">
        <f t="shared" si="90"/>
        <v>0.10661833803273259</v>
      </c>
      <c r="AB148" s="1054">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1055">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334">
        <f t="shared" si="96"/>
        <v>0</v>
      </c>
      <c r="AE148" s="1043">
        <f t="shared" si="102"/>
        <v>0.21851433328918674</v>
      </c>
      <c r="AF148" s="1043">
        <f t="shared" si="103"/>
        <v>0.13401435714861362</v>
      </c>
      <c r="AG148" s="1043">
        <f t="shared" si="104"/>
        <v>0.35252869043780033</v>
      </c>
      <c r="AH148" s="1280">
        <f t="shared" si="100"/>
        <v>0.61984836756922368</v>
      </c>
      <c r="AI148" s="1043">
        <f t="shared" si="101"/>
        <v>0.38015163243077638</v>
      </c>
    </row>
    <row r="149" spans="1:35" x14ac:dyDescent="0.2">
      <c r="A149" s="348">
        <v>2028</v>
      </c>
      <c r="B149" s="362">
        <v>0</v>
      </c>
      <c r="C149" s="363">
        <v>2.6355961673157714E-2</v>
      </c>
      <c r="D149" s="363">
        <v>0.20758504327940072</v>
      </c>
      <c r="E149" s="363">
        <v>0.33413997278527768</v>
      </c>
      <c r="F149" s="363">
        <v>0.40400872260339238</v>
      </c>
      <c r="G149" s="363">
        <v>0.43778488999754872</v>
      </c>
      <c r="H149" s="363">
        <v>0.45997513287914565</v>
      </c>
      <c r="I149" s="363">
        <v>0.47669960345736784</v>
      </c>
      <c r="J149" s="363">
        <v>0.48258383570978658</v>
      </c>
      <c r="K149" s="363">
        <v>0.48454653950431054</v>
      </c>
      <c r="L149" s="398">
        <v>0.48812406334699332</v>
      </c>
      <c r="M149" s="314">
        <f t="shared" si="94"/>
        <v>0.23333377011409651</v>
      </c>
      <c r="N149" s="316">
        <f t="shared" si="95"/>
        <v>0.17343217477348291</v>
      </c>
      <c r="O149" s="362">
        <v>0</v>
      </c>
      <c r="P149" s="363">
        <v>4.687636061669876E-2</v>
      </c>
      <c r="Q149" s="363">
        <v>0.23753984385565272</v>
      </c>
      <c r="R149" s="363">
        <v>0.35812713336622259</v>
      </c>
      <c r="S149" s="363">
        <v>0.41807974576823331</v>
      </c>
      <c r="T149" s="363">
        <v>0.44948404455147334</v>
      </c>
      <c r="U149" s="363">
        <v>0.46910210872017477</v>
      </c>
      <c r="V149" s="363">
        <v>0.47669960345736784</v>
      </c>
      <c r="W149" s="363">
        <v>0.48258383570978658</v>
      </c>
      <c r="X149" s="363">
        <v>0.48652657260169768</v>
      </c>
      <c r="Y149" s="398">
        <v>0.48812406334699332</v>
      </c>
      <c r="Z149" s="314">
        <f t="shared" si="89"/>
        <v>0.14356324004985033</v>
      </c>
      <c r="AA149" s="316">
        <f t="shared" si="90"/>
        <v>0.11615451543363886</v>
      </c>
      <c r="AB149" s="1054">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1055">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334">
        <f t="shared" si="96"/>
        <v>0</v>
      </c>
      <c r="AE149" s="1043">
        <f t="shared" si="102"/>
        <v>0.23333377011409651</v>
      </c>
      <c r="AF149" s="1043">
        <f t="shared" si="103"/>
        <v>0.14356324004985033</v>
      </c>
      <c r="AG149" s="1043">
        <f t="shared" si="104"/>
        <v>0.37689701016394683</v>
      </c>
      <c r="AH149" s="1280">
        <f t="shared" si="100"/>
        <v>0.61909159219012744</v>
      </c>
      <c r="AI149" s="1043">
        <f t="shared" si="101"/>
        <v>0.38090840780987251</v>
      </c>
    </row>
    <row r="150" spans="1:35" x14ac:dyDescent="0.2">
      <c r="A150" s="348">
        <v>2029</v>
      </c>
      <c r="B150" s="362">
        <v>0</v>
      </c>
      <c r="C150" s="363">
        <v>4.2435706754313171E-2</v>
      </c>
      <c r="D150" s="363">
        <v>0.2401989310984414</v>
      </c>
      <c r="E150" s="363">
        <v>0.37037910883373493</v>
      </c>
      <c r="F150" s="363">
        <v>0.42978588355367275</v>
      </c>
      <c r="G150" s="363">
        <v>0.45451569427096278</v>
      </c>
      <c r="H150" s="363">
        <v>0.47435336851986171</v>
      </c>
      <c r="I150" s="363">
        <v>0.48203591173147015</v>
      </c>
      <c r="J150" s="363">
        <v>0.48798601372035944</v>
      </c>
      <c r="K150" s="363">
        <v>0.49197288670834932</v>
      </c>
      <c r="L150" s="398">
        <v>0.49358826021045882</v>
      </c>
      <c r="M150" s="314">
        <f t="shared" si="94"/>
        <v>0.24540864602579981</v>
      </c>
      <c r="N150" s="316">
        <f t="shared" si="95"/>
        <v>0.18597155874369986</v>
      </c>
      <c r="O150" s="362">
        <v>0</v>
      </c>
      <c r="P150" s="363">
        <v>7.2125186320562473E-2</v>
      </c>
      <c r="Q150" s="363">
        <v>0.27202345051378851</v>
      </c>
      <c r="R150" s="363">
        <v>0.38612425845587617</v>
      </c>
      <c r="S150" s="363">
        <v>0.43613858322441695</v>
      </c>
      <c r="T150" s="363">
        <v>0.46512422276649196</v>
      </c>
      <c r="U150" s="363">
        <v>0.47816272099141455</v>
      </c>
      <c r="V150" s="363">
        <v>0.4849918906990181</v>
      </c>
      <c r="W150" s="363">
        <v>0.49197288670834932</v>
      </c>
      <c r="X150" s="363">
        <v>0.4927790261595924</v>
      </c>
      <c r="Y150" s="398">
        <v>0.49358826021045882</v>
      </c>
      <c r="Z150" s="314">
        <f t="shared" si="89"/>
        <v>0.15079761526786456</v>
      </c>
      <c r="AA150" s="316">
        <f t="shared" si="90"/>
        <v>0.12434339175009815</v>
      </c>
      <c r="AB150" s="1054">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1055">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334">
        <f t="shared" si="96"/>
        <v>0</v>
      </c>
      <c r="AE150" s="1043">
        <f t="shared" si="102"/>
        <v>0.24540864602579981</v>
      </c>
      <c r="AF150" s="1043">
        <f t="shared" si="103"/>
        <v>0.15079761526786456</v>
      </c>
      <c r="AG150" s="1043">
        <f t="shared" si="104"/>
        <v>0.39620626129366437</v>
      </c>
      <c r="AH150" s="1280">
        <f t="shared" si="100"/>
        <v>0.61939618325189771</v>
      </c>
      <c r="AI150" s="1043">
        <f t="shared" si="101"/>
        <v>0.38060381674810229</v>
      </c>
    </row>
    <row r="151" spans="1:35" ht="13.5" thickBot="1" x14ac:dyDescent="0.25">
      <c r="A151" s="346">
        <v>2030</v>
      </c>
      <c r="B151" s="364">
        <v>0</v>
      </c>
      <c r="C151" s="365">
        <v>5.6036507199959923E-2</v>
      </c>
      <c r="D151" s="365">
        <v>0.27309519686210781</v>
      </c>
      <c r="E151" s="365">
        <v>0.38764555106214221</v>
      </c>
      <c r="F151" s="365">
        <v>0.44442971490102962</v>
      </c>
      <c r="G151" s="365">
        <v>0.46695676766776167</v>
      </c>
      <c r="H151" s="365">
        <v>0.48393508706793908</v>
      </c>
      <c r="I151" s="365">
        <v>0.48990863188893224</v>
      </c>
      <c r="J151" s="365">
        <v>0.49391121277474498</v>
      </c>
      <c r="K151" s="365">
        <v>0.49391121277474498</v>
      </c>
      <c r="L151" s="399">
        <v>0.49553295069377812</v>
      </c>
      <c r="M151" s="328">
        <f t="shared" si="94"/>
        <v>0.25365979417164364</v>
      </c>
      <c r="N151" s="330">
        <f t="shared" si="95"/>
        <v>0.19489817710699947</v>
      </c>
      <c r="O151" s="364">
        <v>0</v>
      </c>
      <c r="P151" s="365">
        <v>9.2504385442889789E-2</v>
      </c>
      <c r="Q151" s="365">
        <v>0.29751580568695041</v>
      </c>
      <c r="R151" s="365">
        <v>0.40294532509923675</v>
      </c>
      <c r="S151" s="365">
        <v>0.44442971490102962</v>
      </c>
      <c r="T151" s="365">
        <v>0.47622227537169332</v>
      </c>
      <c r="U151" s="365">
        <v>0.48393508706793908</v>
      </c>
      <c r="V151" s="365">
        <v>0.48990863188893224</v>
      </c>
      <c r="W151" s="365">
        <v>0.49391121277474498</v>
      </c>
      <c r="X151" s="365">
        <v>0.49553295069377812</v>
      </c>
      <c r="Y151" s="399">
        <v>0.49553295069377812</v>
      </c>
      <c r="Z151" s="328">
        <f t="shared" si="89"/>
        <v>0.15527931395300101</v>
      </c>
      <c r="AA151" s="330">
        <f t="shared" si="90"/>
        <v>0.12974688907863799</v>
      </c>
      <c r="AB151" s="1054">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1055">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334">
        <f t="shared" si="96"/>
        <v>0</v>
      </c>
      <c r="AE151" s="1043">
        <f t="shared" si="102"/>
        <v>0.25365979417164364</v>
      </c>
      <c r="AF151" s="1043">
        <f t="shared" si="103"/>
        <v>0.15527931395300101</v>
      </c>
      <c r="AG151" s="1043">
        <f t="shared" si="104"/>
        <v>0.40893910812464462</v>
      </c>
      <c r="AH151" s="1280">
        <f t="shared" si="100"/>
        <v>0.62028744410115977</v>
      </c>
      <c r="AI151" s="1043">
        <f t="shared" si="101"/>
        <v>0.37971255589884029</v>
      </c>
    </row>
    <row r="152" spans="1:35" x14ac:dyDescent="0.2">
      <c r="A152" s="347">
        <v>2031</v>
      </c>
      <c r="B152" s="360">
        <v>0</v>
      </c>
      <c r="C152" s="361">
        <v>6.233077404834475E-2</v>
      </c>
      <c r="D152" s="361">
        <v>0.2735227117477545</v>
      </c>
      <c r="E152" s="361">
        <v>0.38825238796494377</v>
      </c>
      <c r="F152" s="361">
        <v>0.44512544415927746</v>
      </c>
      <c r="G152" s="361">
        <v>0.46768776173658905</v>
      </c>
      <c r="H152" s="361">
        <v>0.48469265972313569</v>
      </c>
      <c r="I152" s="361">
        <v>0.49067555578633454</v>
      </c>
      <c r="J152" s="361">
        <v>0.49468440248322471</v>
      </c>
      <c r="K152" s="361">
        <v>0.49468440248322471</v>
      </c>
      <c r="L152" s="397">
        <v>0.49491492033210105</v>
      </c>
      <c r="M152" s="300">
        <f t="shared" si="94"/>
        <v>0.25422847358125517</v>
      </c>
      <c r="N152" s="302">
        <f t="shared" si="95"/>
        <v>0.19574408053227668</v>
      </c>
      <c r="O152" s="360">
        <v>0</v>
      </c>
      <c r="P152" s="361">
        <v>9.2649195758921832E-2</v>
      </c>
      <c r="Q152" s="361">
        <v>0.30649781186986141</v>
      </c>
      <c r="R152" s="361">
        <v>0.40357611292180201</v>
      </c>
      <c r="S152" s="361">
        <v>0.44512544415927746</v>
      </c>
      <c r="T152" s="361">
        <v>0.47696777406203017</v>
      </c>
      <c r="U152" s="361">
        <v>0.48469265972313569</v>
      </c>
      <c r="V152" s="361">
        <v>0.49067555578633454</v>
      </c>
      <c r="W152" s="361">
        <v>0.49462171821519085</v>
      </c>
      <c r="X152" s="361">
        <v>0.49567897700715602</v>
      </c>
      <c r="Y152" s="397">
        <v>0.4905102403226736</v>
      </c>
      <c r="Z152" s="300">
        <f t="shared" si="89"/>
        <v>0.15578702383456638</v>
      </c>
      <c r="AA152" s="302">
        <f t="shared" si="90"/>
        <v>0.13044832802665532</v>
      </c>
      <c r="AB152" s="1054">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1055">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334">
        <f t="shared" si="96"/>
        <v>0</v>
      </c>
      <c r="AE152" s="1043">
        <f t="shared" si="102"/>
        <v>0.25422847358125517</v>
      </c>
      <c r="AF152" s="1043">
        <f t="shared" si="103"/>
        <v>0.15578702383456638</v>
      </c>
      <c r="AG152" s="1043">
        <f t="shared" si="104"/>
        <v>0.41001549741582155</v>
      </c>
      <c r="AH152" s="1280">
        <f t="shared" si="100"/>
        <v>0.62004601090340417</v>
      </c>
      <c r="AI152" s="1043">
        <f t="shared" si="101"/>
        <v>0.37995398909659583</v>
      </c>
    </row>
    <row r="153" spans="1:35" x14ac:dyDescent="0.2">
      <c r="A153" s="348">
        <v>2032</v>
      </c>
      <c r="B153" s="362">
        <v>0</v>
      </c>
      <c r="C153" s="363">
        <v>6.2366690663155047E-2</v>
      </c>
      <c r="D153" s="363">
        <v>0.27368032265552367</v>
      </c>
      <c r="E153" s="363">
        <v>0.38847610909917679</v>
      </c>
      <c r="F153" s="363">
        <v>0.44538193702919965</v>
      </c>
      <c r="G153" s="363">
        <v>0.46795725560131712</v>
      </c>
      <c r="H153" s="363">
        <v>0.4849719522528122</v>
      </c>
      <c r="I153" s="363">
        <v>0.49095829581648942</v>
      </c>
      <c r="J153" s="363">
        <v>0.49432593032725092</v>
      </c>
      <c r="K153" s="363">
        <v>0.49263916597069968</v>
      </c>
      <c r="L153" s="398">
        <v>0.47264639509134321</v>
      </c>
      <c r="M153" s="314">
        <f t="shared" si="94"/>
        <v>0.25358156995830461</v>
      </c>
      <c r="N153" s="316">
        <f t="shared" si="95"/>
        <v>0.19557930673304133</v>
      </c>
      <c r="O153" s="362">
        <v>0</v>
      </c>
      <c r="P153" s="363">
        <v>0.10176054874928098</v>
      </c>
      <c r="Q153" s="363">
        <v>0.30667442388883925</v>
      </c>
      <c r="R153" s="363">
        <v>0.40380866398531373</v>
      </c>
      <c r="S153" s="363">
        <v>0.44538193702919965</v>
      </c>
      <c r="T153" s="363">
        <v>0.4772426153114685</v>
      </c>
      <c r="U153" s="363">
        <v>0.4849719522528122</v>
      </c>
      <c r="V153" s="363">
        <v>0.490630064795819</v>
      </c>
      <c r="W153" s="363">
        <v>0.48822293144873435</v>
      </c>
      <c r="X153" s="363">
        <v>0.48093750530301188</v>
      </c>
      <c r="Y153" s="398">
        <v>0.45826412644197484</v>
      </c>
      <c r="Z153" s="314">
        <f t="shared" si="89"/>
        <v>0.15545636301713361</v>
      </c>
      <c r="AA153" s="316">
        <f t="shared" si="90"/>
        <v>0.13088269791250884</v>
      </c>
      <c r="AB153" s="1054">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1055">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334">
        <f t="shared" si="96"/>
        <v>0</v>
      </c>
      <c r="AE153" s="1043">
        <f t="shared" si="102"/>
        <v>0.25358156995830461</v>
      </c>
      <c r="AF153" s="1043">
        <f t="shared" si="103"/>
        <v>0.15545636301713361</v>
      </c>
      <c r="AG153" s="1043">
        <f t="shared" si="104"/>
        <v>0.40903793297543822</v>
      </c>
      <c r="AH153" s="1280">
        <f t="shared" si="100"/>
        <v>0.61994634119552816</v>
      </c>
      <c r="AI153" s="1043">
        <f t="shared" si="101"/>
        <v>0.38005365880447184</v>
      </c>
    </row>
    <row r="154" spans="1:35" x14ac:dyDescent="0.2">
      <c r="A154" s="348">
        <v>2033</v>
      </c>
      <c r="B154" s="362">
        <v>0</v>
      </c>
      <c r="C154" s="363">
        <v>6.9118725556378047E-2</v>
      </c>
      <c r="D154" s="363">
        <v>0.27373835017960013</v>
      </c>
      <c r="E154" s="363">
        <v>0.38855847639016483</v>
      </c>
      <c r="F154" s="363">
        <v>0.44547636987268441</v>
      </c>
      <c r="G154" s="363">
        <v>0.46805647501414416</v>
      </c>
      <c r="H154" s="363">
        <v>0.48490955549780235</v>
      </c>
      <c r="I154" s="363">
        <v>0.48755366763077718</v>
      </c>
      <c r="J154" s="363">
        <v>0.47911875896404887</v>
      </c>
      <c r="K154" s="363">
        <v>0.46408578678627954</v>
      </c>
      <c r="L154" s="398">
        <v>0.42977400627566109</v>
      </c>
      <c r="M154" s="314">
        <f t="shared" si="94"/>
        <v>0.25127464111399495</v>
      </c>
      <c r="N154" s="316">
        <f t="shared" si="95"/>
        <v>0.19520329888269</v>
      </c>
      <c r="O154" s="362">
        <v>0</v>
      </c>
      <c r="P154" s="363">
        <v>0.10178212469831266</v>
      </c>
      <c r="Q154" s="363">
        <v>0.30673944704192235</v>
      </c>
      <c r="R154" s="363">
        <v>0.40389428218666762</v>
      </c>
      <c r="S154" s="363">
        <v>0.45738106786555266</v>
      </c>
      <c r="T154" s="363">
        <v>0.47720601314172645</v>
      </c>
      <c r="U154" s="363">
        <v>0.48279499725135983</v>
      </c>
      <c r="V154" s="363">
        <v>0.48105150357478582</v>
      </c>
      <c r="W154" s="363">
        <v>0.45605397146162246</v>
      </c>
      <c r="X154" s="363">
        <v>0.44266655008414835</v>
      </c>
      <c r="Y154" s="398">
        <v>0.41589906804478616</v>
      </c>
      <c r="Z154" s="314">
        <f t="shared" si="89"/>
        <v>0.15500034751727776</v>
      </c>
      <c r="AA154" s="316">
        <f t="shared" si="90"/>
        <v>0.13117883023751856</v>
      </c>
      <c r="AB154" s="1054">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1055">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334">
        <f>AB154*AH154+AC154*AI154</f>
        <v>0</v>
      </c>
      <c r="AE154" s="1043">
        <f t="shared" si="102"/>
        <v>0.25127464111399495</v>
      </c>
      <c r="AF154" s="1043">
        <f t="shared" si="103"/>
        <v>0.15500034751727776</v>
      </c>
      <c r="AG154" s="1043">
        <f t="shared" si="104"/>
        <v>0.4062749886312727</v>
      </c>
      <c r="AH154" s="1280">
        <f t="shared" si="100"/>
        <v>0.618484150256286</v>
      </c>
      <c r="AI154" s="1043">
        <f t="shared" si="101"/>
        <v>0.381515849743714</v>
      </c>
    </row>
    <row r="155" spans="1:35" x14ac:dyDescent="0.2">
      <c r="A155" s="348">
        <v>2034</v>
      </c>
      <c r="B155" s="362">
        <v>0</v>
      </c>
      <c r="C155" s="363">
        <v>6.9124117254689435E-2</v>
      </c>
      <c r="D155" s="363">
        <v>0.27375970350445594</v>
      </c>
      <c r="E155" s="363">
        <v>0.3885887864120029</v>
      </c>
      <c r="F155" s="363">
        <v>0.4455111198506661</v>
      </c>
      <c r="G155" s="363">
        <v>0.4678526491980996</v>
      </c>
      <c r="H155" s="363">
        <v>0.47811526987285718</v>
      </c>
      <c r="I155" s="363">
        <v>0.46371189783240957</v>
      </c>
      <c r="J155" s="363">
        <v>0.44430076446108924</v>
      </c>
      <c r="K155" s="363">
        <v>0.4241824436466452</v>
      </c>
      <c r="L155" s="398">
        <v>0.3906354855121969</v>
      </c>
      <c r="M155" s="314">
        <f t="shared" si="94"/>
        <v>0.24608141975204245</v>
      </c>
      <c r="N155" s="316">
        <f t="shared" si="95"/>
        <v>0.19283386993330576</v>
      </c>
      <c r="O155" s="362">
        <v>0</v>
      </c>
      <c r="P155" s="363">
        <v>0.10179006434860927</v>
      </c>
      <c r="Q155" s="363">
        <v>0.3067633746613242</v>
      </c>
      <c r="R155" s="363">
        <v>0.40392578849847693</v>
      </c>
      <c r="S155" s="363">
        <v>0.45737150253742193</v>
      </c>
      <c r="T155" s="363">
        <v>0.47123727314673564</v>
      </c>
      <c r="U155" s="363">
        <v>0.46495561238634886</v>
      </c>
      <c r="V155" s="363">
        <v>0.4479324852242148</v>
      </c>
      <c r="W155" s="363">
        <v>0.41790669621553594</v>
      </c>
      <c r="X155" s="363">
        <v>0.40508171792656156</v>
      </c>
      <c r="Y155" s="398">
        <v>0.38130707379793316</v>
      </c>
      <c r="Z155" s="314">
        <f t="shared" si="89"/>
        <v>0.1520165986013102</v>
      </c>
      <c r="AA155" s="316">
        <f t="shared" si="90"/>
        <v>0.12965349390417408</v>
      </c>
      <c r="AB155" s="1054">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1055">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334">
        <f t="shared" ref="AD155:AD171" si="105">AB155*AH155+AC155*AI155</f>
        <v>0</v>
      </c>
      <c r="AE155" s="1043">
        <f t="shared" si="102"/>
        <v>0.24608141975204245</v>
      </c>
      <c r="AF155" s="1043">
        <f t="shared" si="103"/>
        <v>0.1520165986013102</v>
      </c>
      <c r="AG155" s="1043">
        <f t="shared" si="104"/>
        <v>0.39809801835335268</v>
      </c>
      <c r="AH155" s="1280">
        <f t="shared" si="100"/>
        <v>0.61814278998399852</v>
      </c>
      <c r="AI155" s="1043">
        <f t="shared" si="101"/>
        <v>0.38185721001600148</v>
      </c>
    </row>
    <row r="156" spans="1:35" ht="13.5" thickBot="1" x14ac:dyDescent="0.25">
      <c r="A156" s="346">
        <v>2035</v>
      </c>
      <c r="B156" s="364">
        <v>0</v>
      </c>
      <c r="C156" s="365">
        <v>6.9126100961302658E-2</v>
      </c>
      <c r="D156" s="365">
        <v>0.29018880071213138</v>
      </c>
      <c r="E156" s="365">
        <v>0.39611853368936073</v>
      </c>
      <c r="F156" s="365">
        <v>0.44523289194875915</v>
      </c>
      <c r="G156" s="365">
        <v>0.45777147635330967</v>
      </c>
      <c r="H156" s="365">
        <v>0.44494863033286924</v>
      </c>
      <c r="I156" s="365">
        <v>0.42232846670291074</v>
      </c>
      <c r="J156" s="365">
        <v>0.40233354689860851</v>
      </c>
      <c r="K156" s="365">
        <v>0.38456474534815338</v>
      </c>
      <c r="L156" s="399">
        <v>0.36674982289390284</v>
      </c>
      <c r="M156" s="328">
        <f t="shared" si="94"/>
        <v>0.23859775577696016</v>
      </c>
      <c r="N156" s="330">
        <f t="shared" si="95"/>
        <v>0.19024947534342415</v>
      </c>
      <c r="O156" s="364">
        <v>0</v>
      </c>
      <c r="P156" s="365">
        <v>0.10641271513756254</v>
      </c>
      <c r="Q156" s="365">
        <v>0.30677217807985846</v>
      </c>
      <c r="R156" s="365">
        <v>0.41863120940607751</v>
      </c>
      <c r="S156" s="365">
        <v>0.45265225101699308</v>
      </c>
      <c r="T156" s="365">
        <v>0.44383401108394266</v>
      </c>
      <c r="U156" s="365">
        <v>0.42535650962471278</v>
      </c>
      <c r="V156" s="365">
        <v>0.40817357142844912</v>
      </c>
      <c r="W156" s="365">
        <v>0.38456474534815338</v>
      </c>
      <c r="X156" s="365">
        <v>0.37536951191450313</v>
      </c>
      <c r="Y156" s="399">
        <v>0.35889238511877219</v>
      </c>
      <c r="Z156" s="328">
        <f t="shared" si="89"/>
        <v>0.14765512199924535</v>
      </c>
      <c r="AA156" s="330">
        <f t="shared" si="90"/>
        <v>0.12771873826903229</v>
      </c>
      <c r="AB156" s="1054">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1055">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334">
        <f t="shared" si="105"/>
        <v>0</v>
      </c>
      <c r="AE156" s="1043">
        <f t="shared" si="102"/>
        <v>0.23859775577696016</v>
      </c>
      <c r="AF156" s="1043">
        <f t="shared" si="103"/>
        <v>0.14765512199924535</v>
      </c>
      <c r="AG156" s="1043">
        <f t="shared" si="104"/>
        <v>0.38625287777620554</v>
      </c>
      <c r="AH156" s="1280">
        <f t="shared" si="100"/>
        <v>0.61772421515834874</v>
      </c>
      <c r="AI156" s="1043">
        <f t="shared" si="101"/>
        <v>0.3822757848416512</v>
      </c>
    </row>
    <row r="157" spans="1:35" x14ac:dyDescent="0.2">
      <c r="A157" s="347">
        <v>2036</v>
      </c>
      <c r="B157" s="360">
        <v>0</v>
      </c>
      <c r="C157" s="361">
        <v>7.6417136001669619E-2</v>
      </c>
      <c r="D157" s="361">
        <v>0.29019186435821565</v>
      </c>
      <c r="E157" s="361">
        <v>0.40394164479765993</v>
      </c>
      <c r="F157" s="361">
        <v>0.44377852841222171</v>
      </c>
      <c r="G157" s="361">
        <v>0.44973666742328622</v>
      </c>
      <c r="H157" s="361">
        <v>0.42956495830889552</v>
      </c>
      <c r="I157" s="361">
        <v>0.40811837056719097</v>
      </c>
      <c r="J157" s="361">
        <v>0.39251925916946817</v>
      </c>
      <c r="K157" s="361">
        <v>0.37983404649544161</v>
      </c>
      <c r="L157" s="397">
        <v>0.36263384256555153</v>
      </c>
      <c r="M157" s="300">
        <f t="shared" si="94"/>
        <v>0.23597741914568141</v>
      </c>
      <c r="N157" s="302">
        <f t="shared" si="95"/>
        <v>0.18957717741313229</v>
      </c>
      <c r="O157" s="360">
        <v>0</v>
      </c>
      <c r="P157" s="361">
        <v>0.11147525204016973</v>
      </c>
      <c r="Q157" s="361">
        <v>0.32342853581685554</v>
      </c>
      <c r="R157" s="361">
        <v>0.41839124783847015</v>
      </c>
      <c r="S157" s="361">
        <v>0.44709620318880361</v>
      </c>
      <c r="T157" s="361">
        <v>0.42993395990060018</v>
      </c>
      <c r="U157" s="361">
        <v>0.41178959957249928</v>
      </c>
      <c r="V157" s="361">
        <v>0.39352763774777105</v>
      </c>
      <c r="W157" s="361">
        <v>0.37528987719570667</v>
      </c>
      <c r="X157" s="361">
        <v>0.36666550020548844</v>
      </c>
      <c r="Y157" s="397">
        <v>0.35521524649276776</v>
      </c>
      <c r="Z157" s="300">
        <f t="shared" si="89"/>
        <v>0.1461044828529873</v>
      </c>
      <c r="AA157" s="302">
        <f t="shared" si="90"/>
        <v>0.12752314403872411</v>
      </c>
      <c r="AB157" s="1054">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1055">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334">
        <f t="shared" si="105"/>
        <v>0</v>
      </c>
      <c r="AE157" s="1043">
        <f t="shared" si="102"/>
        <v>0.23597741914568141</v>
      </c>
      <c r="AF157" s="1043">
        <f t="shared" si="103"/>
        <v>0.1461044828529873</v>
      </c>
      <c r="AG157" s="1043">
        <f t="shared" si="104"/>
        <v>0.3820819019986687</v>
      </c>
      <c r="AH157" s="1280">
        <f t="shared" si="100"/>
        <v>0.61760951751780069</v>
      </c>
      <c r="AI157" s="1043">
        <f t="shared" si="101"/>
        <v>0.38239048248219926</v>
      </c>
    </row>
    <row r="158" spans="1:35" x14ac:dyDescent="0.2">
      <c r="A158" s="348">
        <v>2037</v>
      </c>
      <c r="B158" s="362">
        <v>0</v>
      </c>
      <c r="C158" s="363">
        <v>7.6417432796210091E-2</v>
      </c>
      <c r="D158" s="363">
        <v>0.29019299142690119</v>
      </c>
      <c r="E158" s="363">
        <v>0.40394321365617941</v>
      </c>
      <c r="F158" s="363">
        <v>0.44237775685575897</v>
      </c>
      <c r="G158" s="363">
        <v>0.4428669225061444</v>
      </c>
      <c r="H158" s="363">
        <v>0.42406538307548725</v>
      </c>
      <c r="I158" s="363">
        <v>0.39880432338474342</v>
      </c>
      <c r="J158" s="363">
        <v>0.37250612471811695</v>
      </c>
      <c r="K158" s="363">
        <v>0.358422213421484</v>
      </c>
      <c r="L158" s="398">
        <v>0.32751133130115456</v>
      </c>
      <c r="M158" s="314">
        <f t="shared" si="94"/>
        <v>0.23211110260919246</v>
      </c>
      <c r="N158" s="316">
        <f t="shared" si="95"/>
        <v>0.18766504678694093</v>
      </c>
      <c r="O158" s="362">
        <v>0</v>
      </c>
      <c r="P158" s="363">
        <v>0.11147568499602145</v>
      </c>
      <c r="Q158" s="363">
        <v>0.32342972110024643</v>
      </c>
      <c r="R158" s="363">
        <v>0.41805802563946043</v>
      </c>
      <c r="S158" s="363">
        <v>0.44271031460089777</v>
      </c>
      <c r="T158" s="363">
        <v>0.42187744933354132</v>
      </c>
      <c r="U158" s="363">
        <v>0.40700460801219396</v>
      </c>
      <c r="V158" s="363">
        <v>0.38858874277056937</v>
      </c>
      <c r="W158" s="363">
        <v>0.37079359510827375</v>
      </c>
      <c r="X158" s="363">
        <v>0.36252410116431755</v>
      </c>
      <c r="Y158" s="398">
        <v>0.35510716975238593</v>
      </c>
      <c r="Z158" s="314">
        <f t="shared" si="89"/>
        <v>0.14485971490641919</v>
      </c>
      <c r="AA158" s="316">
        <f t="shared" si="90"/>
        <v>0.1266476131490453</v>
      </c>
      <c r="AB158" s="1054">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1055">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334">
        <f t="shared" si="105"/>
        <v>0</v>
      </c>
      <c r="AE158" s="1043">
        <f t="shared" si="102"/>
        <v>0.23211110260919246</v>
      </c>
      <c r="AF158" s="1043">
        <f t="shared" si="103"/>
        <v>0.14485971490641919</v>
      </c>
      <c r="AG158" s="1043">
        <f t="shared" si="104"/>
        <v>0.37697081751561168</v>
      </c>
      <c r="AH158" s="1280">
        <f t="shared" si="100"/>
        <v>0.61572697891814909</v>
      </c>
      <c r="AI158" s="1043">
        <f t="shared" si="101"/>
        <v>0.38427302108185085</v>
      </c>
    </row>
    <row r="159" spans="1:35" x14ac:dyDescent="0.2">
      <c r="A159" s="348">
        <v>2038</v>
      </c>
      <c r="B159" s="362">
        <v>0</v>
      </c>
      <c r="C159" s="363">
        <v>7.6417541981399828E-2</v>
      </c>
      <c r="D159" s="363">
        <v>0.29019340605450228</v>
      </c>
      <c r="E159" s="363">
        <v>0.39890431265277754</v>
      </c>
      <c r="F159" s="363">
        <v>0.41219929942511746</v>
      </c>
      <c r="G159" s="363">
        <v>0.38559762419677596</v>
      </c>
      <c r="H159" s="363">
        <v>0.35178707718463226</v>
      </c>
      <c r="I159" s="363">
        <v>0.32235858347174062</v>
      </c>
      <c r="J159" s="363">
        <v>0.30640841525051404</v>
      </c>
      <c r="K159" s="363">
        <v>0.29041748144064866</v>
      </c>
      <c r="L159" s="398">
        <v>0.27575343711647071</v>
      </c>
      <c r="M159" s="314">
        <f t="shared" si="94"/>
        <v>0.20772696853780276</v>
      </c>
      <c r="N159" s="316">
        <f t="shared" si="95"/>
        <v>0.17279470645772635</v>
      </c>
      <c r="O159" s="362">
        <v>0</v>
      </c>
      <c r="P159" s="363">
        <v>0.11147581938885953</v>
      </c>
      <c r="Q159" s="363">
        <v>0.32342173143684344</v>
      </c>
      <c r="R159" s="363">
        <v>0.41587317951724589</v>
      </c>
      <c r="S159" s="363">
        <v>0.43224590212328795</v>
      </c>
      <c r="T159" s="363">
        <v>0.4086871384617673</v>
      </c>
      <c r="U159" s="363">
        <v>0.39245225663920419</v>
      </c>
      <c r="V159" s="363">
        <v>0.38368232545757103</v>
      </c>
      <c r="W159" s="363">
        <v>0.36645759316842297</v>
      </c>
      <c r="X159" s="363">
        <v>0.35859158798631097</v>
      </c>
      <c r="Y159" s="398">
        <v>0.35166649268334327</v>
      </c>
      <c r="Z159" s="314">
        <f t="shared" si="89"/>
        <v>0.14213647451307213</v>
      </c>
      <c r="AA159" s="316">
        <f t="shared" si="90"/>
        <v>0.12467427050124846</v>
      </c>
      <c r="AB159" s="1054">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1055">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334">
        <f t="shared" si="105"/>
        <v>0</v>
      </c>
      <c r="AE159" s="1043">
        <f t="shared" si="102"/>
        <v>0.20772696853780276</v>
      </c>
      <c r="AF159" s="1043">
        <f t="shared" si="103"/>
        <v>0.14213647451307213</v>
      </c>
      <c r="AG159" s="1043">
        <f t="shared" si="104"/>
        <v>0.34986344305087491</v>
      </c>
      <c r="AH159" s="1280">
        <f t="shared" si="100"/>
        <v>0.59373727854040592</v>
      </c>
      <c r="AI159" s="1043">
        <f t="shared" si="101"/>
        <v>0.40626272145959402</v>
      </c>
    </row>
    <row r="160" spans="1:35" x14ac:dyDescent="0.2">
      <c r="A160" s="348">
        <v>2039</v>
      </c>
      <c r="B160" s="362">
        <v>0</v>
      </c>
      <c r="C160" s="363">
        <v>7.6417582148464946E-2</v>
      </c>
      <c r="D160" s="363">
        <v>0.27817558765301009</v>
      </c>
      <c r="E160" s="363">
        <v>0.34687337740766538</v>
      </c>
      <c r="F160" s="363">
        <v>0.33959830085918519</v>
      </c>
      <c r="G160" s="363">
        <v>0.32530991921732516</v>
      </c>
      <c r="H160" s="363">
        <v>0.3028544925342741</v>
      </c>
      <c r="I160" s="363">
        <v>0.28578187232228985</v>
      </c>
      <c r="J160" s="363">
        <v>0.27906621011888755</v>
      </c>
      <c r="K160" s="363">
        <v>0.27187663102630799</v>
      </c>
      <c r="L160" s="398">
        <v>0.26297519541349856</v>
      </c>
      <c r="M160" s="314">
        <f t="shared" si="94"/>
        <v>0.18102302554309574</v>
      </c>
      <c r="N160" s="316">
        <f t="shared" si="95"/>
        <v>0.15158291787477121</v>
      </c>
      <c r="O160" s="362">
        <v>0</v>
      </c>
      <c r="P160" s="363">
        <v>0.11147114856896471</v>
      </c>
      <c r="Q160" s="363">
        <v>0.32336330770496047</v>
      </c>
      <c r="R160" s="363">
        <v>0.41042837107863051</v>
      </c>
      <c r="S160" s="363">
        <v>0.41719016437984163</v>
      </c>
      <c r="T160" s="363">
        <v>0.39448964989102842</v>
      </c>
      <c r="U160" s="363">
        <v>0.38546834566976806</v>
      </c>
      <c r="V160" s="363">
        <v>0.37415944086517294</v>
      </c>
      <c r="W160" s="363">
        <v>0.36226571919767231</v>
      </c>
      <c r="X160" s="363">
        <v>0.35485015786535573</v>
      </c>
      <c r="Y160" s="398">
        <v>0.34846032908949681</v>
      </c>
      <c r="Z160" s="314">
        <f t="shared" si="89"/>
        <v>0.13904582976310889</v>
      </c>
      <c r="AA160" s="316">
        <f t="shared" si="90"/>
        <v>0.12227058205507613</v>
      </c>
      <c r="AB160" s="1054">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1055">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334">
        <f t="shared" si="105"/>
        <v>0</v>
      </c>
      <c r="AE160" s="1043">
        <f t="shared" si="102"/>
        <v>0.18102302554309574</v>
      </c>
      <c r="AF160" s="1043">
        <f t="shared" si="103"/>
        <v>0.13904582976310889</v>
      </c>
      <c r="AG160" s="1043">
        <f t="shared" si="104"/>
        <v>0.32006885530620466</v>
      </c>
      <c r="AH160" s="1280">
        <f t="shared" si="100"/>
        <v>0.56557525839217926</v>
      </c>
      <c r="AI160" s="1043">
        <f t="shared" si="101"/>
        <v>0.43442474160782063</v>
      </c>
    </row>
    <row r="161" spans="1:35" ht="13.5" thickBot="1" x14ac:dyDescent="0.25">
      <c r="A161" s="346">
        <v>2040</v>
      </c>
      <c r="B161" s="364">
        <v>0</v>
      </c>
      <c r="C161" s="365">
        <v>7.4616629607097237E-2</v>
      </c>
      <c r="D161" s="365">
        <v>0.24016758453647458</v>
      </c>
      <c r="E161" s="365">
        <v>0.30365710490174153</v>
      </c>
      <c r="F161" s="365">
        <v>0.29963199985211836</v>
      </c>
      <c r="G161" s="365">
        <v>0.2980859177681075</v>
      </c>
      <c r="H161" s="365">
        <v>0.2814771391773902</v>
      </c>
      <c r="I161" s="365">
        <v>0.27261048627941359</v>
      </c>
      <c r="J161" s="365">
        <v>0.26972435530722716</v>
      </c>
      <c r="K161" s="365">
        <v>0.26557953124765987</v>
      </c>
      <c r="L161" s="399">
        <v>0.25924573068106682</v>
      </c>
      <c r="M161" s="328">
        <f t="shared" si="94"/>
        <v>0.16484480008975569</v>
      </c>
      <c r="N161" s="330">
        <f t="shared" si="95"/>
        <v>0.13646778304224616</v>
      </c>
      <c r="O161" s="364">
        <v>0</v>
      </c>
      <c r="P161" s="365">
        <v>0.11634880724292164</v>
      </c>
      <c r="Q161" s="365">
        <v>0.32260901346687676</v>
      </c>
      <c r="R161" s="365">
        <v>0.395674765370015</v>
      </c>
      <c r="S161" s="365">
        <v>0.39757773660053625</v>
      </c>
      <c r="T161" s="365">
        <v>0.37982149889415667</v>
      </c>
      <c r="U161" s="365">
        <v>0.37858468002426315</v>
      </c>
      <c r="V161" s="365">
        <v>0.36505517494858358</v>
      </c>
      <c r="W161" s="365">
        <v>0.35822882960359081</v>
      </c>
      <c r="X161" s="365">
        <v>0.3513082878207483</v>
      </c>
      <c r="Y161" s="399">
        <v>0.34549994529594857</v>
      </c>
      <c r="Z161" s="328">
        <f t="shared" si="89"/>
        <v>0.13504070977667929</v>
      </c>
      <c r="AA161" s="330">
        <f t="shared" si="90"/>
        <v>0.11914352437526179</v>
      </c>
      <c r="AB161" s="1054">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1055">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334">
        <f t="shared" si="105"/>
        <v>0</v>
      </c>
      <c r="AE161" s="1043">
        <f t="shared" si="102"/>
        <v>0.16484480008975569</v>
      </c>
      <c r="AF161" s="1043">
        <f t="shared" si="103"/>
        <v>0.13504070977667929</v>
      </c>
      <c r="AG161" s="1043">
        <f t="shared" si="104"/>
        <v>0.29988550986643497</v>
      </c>
      <c r="AH161" s="1280">
        <f t="shared" si="100"/>
        <v>0.54969244817188856</v>
      </c>
      <c r="AI161" s="1043">
        <f t="shared" si="101"/>
        <v>0.45030755182811144</v>
      </c>
    </row>
    <row r="162" spans="1:35" x14ac:dyDescent="0.2">
      <c r="A162" s="347">
        <v>2041</v>
      </c>
      <c r="B162" s="360">
        <v>0</v>
      </c>
      <c r="C162" s="361">
        <v>6.3207073396720506E-2</v>
      </c>
      <c r="D162" s="361">
        <v>0.20892386313478289</v>
      </c>
      <c r="E162" s="361">
        <v>0.27076267404253312</v>
      </c>
      <c r="F162" s="361">
        <v>0.27487852495953363</v>
      </c>
      <c r="G162" s="361">
        <v>0.28061022549400388</v>
      </c>
      <c r="H162" s="361">
        <v>0.2711210632520254</v>
      </c>
      <c r="I162" s="361">
        <v>0.26527749486196528</v>
      </c>
      <c r="J162" s="361">
        <v>0.26331794092808253</v>
      </c>
      <c r="K162" s="361">
        <v>0.26024179576476314</v>
      </c>
      <c r="L162" s="397">
        <v>0.25682234170449175</v>
      </c>
      <c r="M162" s="300">
        <f t="shared" si="94"/>
        <v>0.1537056300458754</v>
      </c>
      <c r="N162" s="302">
        <f t="shared" si="95"/>
        <v>0.12503806781288387</v>
      </c>
      <c r="O162" s="360">
        <v>0</v>
      </c>
      <c r="P162" s="361">
        <v>0.11618079939389024</v>
      </c>
      <c r="Q162" s="361">
        <v>0.31663055291520781</v>
      </c>
      <c r="R162" s="361">
        <v>0.37469545995144732</v>
      </c>
      <c r="S162" s="361">
        <v>0.37929280188775116</v>
      </c>
      <c r="T162" s="361">
        <v>0.36994571049219038</v>
      </c>
      <c r="U162" s="361">
        <v>0.36910542489623666</v>
      </c>
      <c r="V162" s="361">
        <v>0.3565238881315867</v>
      </c>
      <c r="W162" s="361">
        <v>0.35100536001056881</v>
      </c>
      <c r="X162" s="361">
        <v>0.34795454630278511</v>
      </c>
      <c r="Y162" s="397">
        <v>0.3427722187911959</v>
      </c>
      <c r="Z162" s="300">
        <f t="shared" si="89"/>
        <v>0.13048425276659936</v>
      </c>
      <c r="AA162" s="302">
        <f t="shared" si="90"/>
        <v>0.11510390643467709</v>
      </c>
      <c r="AB162" s="1054">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1055">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334">
        <f t="shared" si="105"/>
        <v>0</v>
      </c>
      <c r="AE162" s="1043">
        <f t="shared" si="102"/>
        <v>0.1537056300458754</v>
      </c>
      <c r="AF162" s="1043">
        <f t="shared" si="103"/>
        <v>0.13048425276659936</v>
      </c>
      <c r="AG162" s="1043">
        <f t="shared" si="104"/>
        <v>0.28418988281247476</v>
      </c>
      <c r="AH162" s="1280">
        <f t="shared" si="100"/>
        <v>0.5408553905041702</v>
      </c>
      <c r="AI162" s="1043">
        <f t="shared" si="101"/>
        <v>0.4591446094958298</v>
      </c>
    </row>
    <row r="163" spans="1:35" x14ac:dyDescent="0.2">
      <c r="A163" s="348">
        <v>2042</v>
      </c>
      <c r="B163" s="362">
        <v>0</v>
      </c>
      <c r="C163" s="363">
        <v>5.9632602490399277E-2</v>
      </c>
      <c r="D163" s="363">
        <v>0.19536084374753068</v>
      </c>
      <c r="E163" s="363">
        <v>0.24799224958168303</v>
      </c>
      <c r="F163" s="363">
        <v>0.26143643505349407</v>
      </c>
      <c r="G163" s="363">
        <v>0.26721737340918522</v>
      </c>
      <c r="H163" s="363">
        <v>0.26376065591289738</v>
      </c>
      <c r="I163" s="363">
        <v>0.26036066848573697</v>
      </c>
      <c r="J163" s="363">
        <v>0.25884730682887647</v>
      </c>
      <c r="K163" s="363">
        <v>0.25820424254627361</v>
      </c>
      <c r="L163" s="398">
        <v>0.25533720364632007</v>
      </c>
      <c r="M163" s="314">
        <f t="shared" si="94"/>
        <v>0.14703627541196784</v>
      </c>
      <c r="N163" s="316">
        <f t="shared" si="95"/>
        <v>0.1186035098485846</v>
      </c>
      <c r="O163" s="362">
        <v>0</v>
      </c>
      <c r="P163" s="363">
        <v>0.12034802589852044</v>
      </c>
      <c r="Q163" s="363">
        <v>0.2948714808011238</v>
      </c>
      <c r="R163" s="363">
        <v>0.34568176876563872</v>
      </c>
      <c r="S163" s="363">
        <v>0.35519429401400382</v>
      </c>
      <c r="T163" s="363">
        <v>0.35577091886161943</v>
      </c>
      <c r="U163" s="363">
        <v>0.35605712723558475</v>
      </c>
      <c r="V163" s="363">
        <v>0.35238534953820322</v>
      </c>
      <c r="W163" s="363">
        <v>0.34750783265953616</v>
      </c>
      <c r="X163" s="363">
        <v>0.34476100587688602</v>
      </c>
      <c r="Y163" s="398">
        <v>0.34025109582215768</v>
      </c>
      <c r="Z163" s="314">
        <f t="shared" si="89"/>
        <v>0.12406302064866452</v>
      </c>
      <c r="AA163" s="316">
        <f t="shared" si="90"/>
        <v>0.10916246629662971</v>
      </c>
      <c r="AB163" s="1054">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1055">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334">
        <f t="shared" si="105"/>
        <v>0</v>
      </c>
      <c r="AE163" s="1043">
        <f t="shared" si="102"/>
        <v>0.14703627541196784</v>
      </c>
      <c r="AF163" s="1043">
        <f t="shared" si="103"/>
        <v>0.12406302064866452</v>
      </c>
      <c r="AG163" s="1043">
        <f t="shared" si="104"/>
        <v>0.27109929606063238</v>
      </c>
      <c r="AH163" s="1280">
        <f t="shared" si="100"/>
        <v>0.54237055406843482</v>
      </c>
      <c r="AI163" s="1043">
        <f t="shared" si="101"/>
        <v>0.45762944593156507</v>
      </c>
    </row>
    <row r="164" spans="1:35" x14ac:dyDescent="0.2">
      <c r="A164" s="348">
        <v>2043</v>
      </c>
      <c r="B164" s="362">
        <v>0</v>
      </c>
      <c r="C164" s="363">
        <v>7.9986832775185979E-2</v>
      </c>
      <c r="D164" s="363">
        <v>0.20156403585904969</v>
      </c>
      <c r="E164" s="363">
        <v>0.24923900585823394</v>
      </c>
      <c r="F164" s="363">
        <v>0.25616069253969165</v>
      </c>
      <c r="G164" s="363">
        <v>0.26199594815734473</v>
      </c>
      <c r="H164" s="363">
        <v>0.26111361697047625</v>
      </c>
      <c r="I164" s="363">
        <v>0.2592429098223264</v>
      </c>
      <c r="J164" s="363">
        <v>0.25682202621719885</v>
      </c>
      <c r="K164" s="363">
        <v>0.25655257741945281</v>
      </c>
      <c r="L164" s="398">
        <v>0.25404477305908368</v>
      </c>
      <c r="M164" s="314">
        <f t="shared" si="94"/>
        <v>0.14676297352086248</v>
      </c>
      <c r="N164" s="316">
        <f t="shared" si="95"/>
        <v>0.12005555760400834</v>
      </c>
      <c r="O164" s="362">
        <v>0</v>
      </c>
      <c r="P164" s="363">
        <v>0.10957985306864482</v>
      </c>
      <c r="Q164" s="363">
        <v>0.25335199966079364</v>
      </c>
      <c r="R164" s="363">
        <v>0.32227297817108663</v>
      </c>
      <c r="S164" s="363">
        <v>0.34078305948585608</v>
      </c>
      <c r="T164" s="363">
        <v>0.3427045361801685</v>
      </c>
      <c r="U164" s="363">
        <v>0.34802665534072014</v>
      </c>
      <c r="V164" s="363">
        <v>0.34839398637102675</v>
      </c>
      <c r="W164" s="363">
        <v>0.34410243053260092</v>
      </c>
      <c r="X164" s="363">
        <v>0.34168316951632782</v>
      </c>
      <c r="Y164" s="398">
        <v>0.33789604201239215</v>
      </c>
      <c r="Z164" s="314">
        <f t="shared" si="89"/>
        <v>0.11796279966622186</v>
      </c>
      <c r="AA164" s="316">
        <f t="shared" si="90"/>
        <v>0.10232764867984766</v>
      </c>
      <c r="AB164" s="1054">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1055">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334">
        <f t="shared" si="105"/>
        <v>0</v>
      </c>
      <c r="AE164" s="1043">
        <f t="shared" si="102"/>
        <v>0.14676297352086248</v>
      </c>
      <c r="AF164" s="1043">
        <f t="shared" si="103"/>
        <v>0.11796279966622186</v>
      </c>
      <c r="AG164" s="1043">
        <f t="shared" si="104"/>
        <v>0.26472577318708435</v>
      </c>
      <c r="AH164" s="1280">
        <f t="shared" si="100"/>
        <v>0.5543962408871449</v>
      </c>
      <c r="AI164" s="1043">
        <f t="shared" si="101"/>
        <v>0.44560375911285516</v>
      </c>
    </row>
    <row r="165" spans="1:35" x14ac:dyDescent="0.2">
      <c r="A165" s="348">
        <v>2044</v>
      </c>
      <c r="B165" s="362">
        <v>0</v>
      </c>
      <c r="C165" s="363">
        <v>8.1850528525028346E-2</v>
      </c>
      <c r="D165" s="363">
        <v>0.19250690720911509</v>
      </c>
      <c r="E165" s="363">
        <v>0.24570122792225876</v>
      </c>
      <c r="F165" s="363">
        <v>0.25386200682144777</v>
      </c>
      <c r="G165" s="363">
        <v>0.25778749538047424</v>
      </c>
      <c r="H165" s="363">
        <v>0.25791000676680143</v>
      </c>
      <c r="I165" s="363">
        <v>0.25593542334170388</v>
      </c>
      <c r="J165" s="363">
        <v>0.25542675453892744</v>
      </c>
      <c r="K165" s="363">
        <v>0.25507897866934359</v>
      </c>
      <c r="L165" s="398">
        <v>0.25296068975135488</v>
      </c>
      <c r="M165" s="314">
        <f t="shared" si="94"/>
        <v>0.14480869215805883</v>
      </c>
      <c r="N165" s="316">
        <f t="shared" si="95"/>
        <v>0.11828852269626801</v>
      </c>
      <c r="O165" s="362">
        <v>0</v>
      </c>
      <c r="P165" s="363">
        <v>8.8435837495749778E-2</v>
      </c>
      <c r="Q165" s="363">
        <v>0.21118449147768192</v>
      </c>
      <c r="R165" s="363">
        <v>0.30842639054327325</v>
      </c>
      <c r="S165" s="363">
        <v>0.32772893089363753</v>
      </c>
      <c r="T165" s="363">
        <v>0.33500622007894526</v>
      </c>
      <c r="U165" s="363">
        <v>0.3442459494587734</v>
      </c>
      <c r="V165" s="363">
        <v>0.34305050449493718</v>
      </c>
      <c r="W165" s="363">
        <v>0.34120615491498624</v>
      </c>
      <c r="X165" s="363">
        <v>0.33913306090649609</v>
      </c>
      <c r="Y165" s="398">
        <v>0.33742648810954323</v>
      </c>
      <c r="Z165" s="314">
        <f t="shared" si="89"/>
        <v>0.1127982946492667</v>
      </c>
      <c r="AA165" s="316">
        <f t="shared" si="90"/>
        <v>9.5846317406741682E-2</v>
      </c>
      <c r="AB165" s="1054">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1055">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334">
        <f t="shared" si="105"/>
        <v>0</v>
      </c>
      <c r="AE165" s="1043">
        <f t="shared" si="102"/>
        <v>0.14480869215805883</v>
      </c>
      <c r="AF165" s="1043">
        <f t="shared" si="103"/>
        <v>0.1127982946492667</v>
      </c>
      <c r="AG165" s="1043">
        <f t="shared" si="104"/>
        <v>0.25760698680732552</v>
      </c>
      <c r="AH165" s="1280">
        <f t="shared" si="100"/>
        <v>0.56213029760084499</v>
      </c>
      <c r="AI165" s="1043">
        <f t="shared" si="101"/>
        <v>0.43786970239915513</v>
      </c>
    </row>
    <row r="166" spans="1:35" ht="13.5" thickBot="1" x14ac:dyDescent="0.25">
      <c r="A166" s="346">
        <v>2045</v>
      </c>
      <c r="B166" s="364">
        <v>0</v>
      </c>
      <c r="C166" s="365">
        <v>8.0348593295281948E-2</v>
      </c>
      <c r="D166" s="365">
        <v>0.17918910345528005</v>
      </c>
      <c r="E166" s="365">
        <v>0.24183031374028663</v>
      </c>
      <c r="F166" s="365">
        <v>0.25166257804417852</v>
      </c>
      <c r="G166" s="365">
        <v>0.2574235811548245</v>
      </c>
      <c r="H166" s="365">
        <v>0.25625725914710928</v>
      </c>
      <c r="I166" s="365">
        <v>0.25458407487714985</v>
      </c>
      <c r="J166" s="365">
        <v>0.25424726529043823</v>
      </c>
      <c r="K166" s="365">
        <v>0.25379785209774447</v>
      </c>
      <c r="L166" s="399">
        <v>0.25284008251755491</v>
      </c>
      <c r="M166" s="328">
        <f t="shared" si="94"/>
        <v>0.14302968518896275</v>
      </c>
      <c r="N166" s="330">
        <f t="shared" si="95"/>
        <v>0.11615452168497573</v>
      </c>
      <c r="O166" s="364">
        <v>0</v>
      </c>
      <c r="P166" s="365">
        <v>8.2802478720939654E-2</v>
      </c>
      <c r="Q166" s="365">
        <v>0.1855109411214019</v>
      </c>
      <c r="R166" s="365">
        <v>0.29488366867523735</v>
      </c>
      <c r="S166" s="365">
        <v>0.31909385105787214</v>
      </c>
      <c r="T166" s="365">
        <v>0.33061061458406776</v>
      </c>
      <c r="U166" s="365">
        <v>0.34006779768543099</v>
      </c>
      <c r="V166" s="365">
        <v>0.33917441325342285</v>
      </c>
      <c r="W166" s="365">
        <v>0.33799899101603176</v>
      </c>
      <c r="X166" s="365">
        <v>0.33630241795339</v>
      </c>
      <c r="Y166" s="399">
        <v>0.3350000866458801</v>
      </c>
      <c r="Z166" s="328">
        <f t="shared" si="89"/>
        <v>0.10931352319197918</v>
      </c>
      <c r="AA166" s="330">
        <f t="shared" si="90"/>
        <v>9.1903748743693975E-2</v>
      </c>
      <c r="AB166" s="1054">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1055">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334">
        <f t="shared" si="105"/>
        <v>0</v>
      </c>
      <c r="AE166" s="1043">
        <f t="shared" si="102"/>
        <v>0.14302968518896275</v>
      </c>
      <c r="AF166" s="1043">
        <f t="shared" si="103"/>
        <v>0.10931352319197918</v>
      </c>
      <c r="AG166" s="1043">
        <f t="shared" si="104"/>
        <v>0.25234320838094193</v>
      </c>
      <c r="AH166" s="1280">
        <f t="shared" si="100"/>
        <v>0.56680616096884417</v>
      </c>
      <c r="AI166" s="1043">
        <f t="shared" si="101"/>
        <v>0.43319383903115588</v>
      </c>
    </row>
    <row r="167" spans="1:35" x14ac:dyDescent="0.2">
      <c r="A167" s="347">
        <v>2046</v>
      </c>
      <c r="B167" s="360">
        <v>0</v>
      </c>
      <c r="C167" s="361">
        <v>7.7669631334630673E-2</v>
      </c>
      <c r="D167" s="361">
        <v>0.17271198655454995</v>
      </c>
      <c r="E167" s="361">
        <v>0.23997141376220138</v>
      </c>
      <c r="F167" s="361">
        <v>0.25110368719222492</v>
      </c>
      <c r="G167" s="361">
        <v>0.25441556547100075</v>
      </c>
      <c r="H167" s="361">
        <v>0.25473117697178821</v>
      </c>
      <c r="I167" s="361">
        <v>0.25338746432839104</v>
      </c>
      <c r="J167" s="361">
        <v>0.25323731354707724</v>
      </c>
      <c r="K167" s="361">
        <v>0.25368253768527244</v>
      </c>
      <c r="L167" s="397">
        <v>0.25198811402253402</v>
      </c>
      <c r="M167" s="300">
        <f t="shared" si="94"/>
        <v>0.14184200371304573</v>
      </c>
      <c r="N167" s="302">
        <f t="shared" si="95"/>
        <v>0.11479643410150252</v>
      </c>
      <c r="O167" s="360">
        <v>0</v>
      </c>
      <c r="P167" s="361">
        <v>8.1440153110922939E-2</v>
      </c>
      <c r="Q167" s="361">
        <v>0.16843833424013524</v>
      </c>
      <c r="R167" s="361">
        <v>0.28946767605624263</v>
      </c>
      <c r="S167" s="361">
        <v>0.31408172497889536</v>
      </c>
      <c r="T167" s="361">
        <v>0.32605105053797051</v>
      </c>
      <c r="U167" s="361">
        <v>0.33574500352784276</v>
      </c>
      <c r="V167" s="361">
        <v>0.33338292572153061</v>
      </c>
      <c r="W167" s="361">
        <v>0.33640101075120238</v>
      </c>
      <c r="X167" s="361">
        <v>0.33471905723361628</v>
      </c>
      <c r="Y167" s="397">
        <v>0.33342790325725014</v>
      </c>
      <c r="Z167" s="300">
        <f t="shared" si="89"/>
        <v>0.10715642722365949</v>
      </c>
      <c r="AA167" s="302">
        <f t="shared" si="90"/>
        <v>8.9619809697017938E-2</v>
      </c>
      <c r="AB167" s="1054">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1055">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334">
        <f t="shared" si="105"/>
        <v>0</v>
      </c>
      <c r="AE167" s="1043">
        <f t="shared" si="102"/>
        <v>0.14184200371304573</v>
      </c>
      <c r="AF167" s="1043">
        <f t="shared" si="103"/>
        <v>0.10715642722365949</v>
      </c>
      <c r="AG167" s="1043">
        <f t="shared" si="104"/>
        <v>0.24899843093670521</v>
      </c>
      <c r="AH167" s="1280">
        <f t="shared" si="100"/>
        <v>0.56965019088454261</v>
      </c>
      <c r="AI167" s="1043">
        <f t="shared" si="101"/>
        <v>0.43034980911545739</v>
      </c>
    </row>
    <row r="168" spans="1:35" x14ac:dyDescent="0.2">
      <c r="A168" s="348">
        <v>2047</v>
      </c>
      <c r="B168" s="362">
        <v>0</v>
      </c>
      <c r="C168" s="363">
        <v>7.4231434072426397E-2</v>
      </c>
      <c r="D168" s="363">
        <v>0.16752738628616284</v>
      </c>
      <c r="E168" s="363">
        <v>0.23990413665889715</v>
      </c>
      <c r="F168" s="363">
        <v>0.24916058740980571</v>
      </c>
      <c r="G168" s="363">
        <v>0.25084730730694721</v>
      </c>
      <c r="H168" s="363">
        <v>0.25334606030124157</v>
      </c>
      <c r="I168" s="363">
        <v>0.25352205823252044</v>
      </c>
      <c r="J168" s="363">
        <v>0.2533718616377309</v>
      </c>
      <c r="K168" s="363">
        <v>0.25282075425928729</v>
      </c>
      <c r="L168" s="398">
        <v>0.2520834516760258</v>
      </c>
      <c r="M168" s="314">
        <f t="shared" si="94"/>
        <v>0.14079823399421859</v>
      </c>
      <c r="N168" s="316">
        <f t="shared" si="95"/>
        <v>0.11355164343453733</v>
      </c>
      <c r="O168" s="362">
        <v>0</v>
      </c>
      <c r="P168" s="363">
        <v>8.5162438641968707E-2</v>
      </c>
      <c r="Q168" s="363">
        <v>0.16153653699559056</v>
      </c>
      <c r="R168" s="363">
        <v>0.28367428059406047</v>
      </c>
      <c r="S168" s="363">
        <v>0.31185249138503679</v>
      </c>
      <c r="T168" s="363">
        <v>0.32383996358308526</v>
      </c>
      <c r="U168" s="363">
        <v>0.32816056994790449</v>
      </c>
      <c r="V168" s="363">
        <v>0.33119422469339671</v>
      </c>
      <c r="W168" s="363">
        <v>0.33255940875780071</v>
      </c>
      <c r="X168" s="363">
        <v>0.33255940875780071</v>
      </c>
      <c r="Y168" s="398">
        <v>0.33128381715339161</v>
      </c>
      <c r="Z168" s="314">
        <f t="shared" si="89"/>
        <v>0.1057649493835915</v>
      </c>
      <c r="AA168" s="316">
        <f t="shared" si="90"/>
        <v>8.8498070529203943E-2</v>
      </c>
      <c r="AB168" s="1054">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1055">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334">
        <f t="shared" si="105"/>
        <v>0</v>
      </c>
      <c r="AE168" s="1043">
        <f t="shared" si="102"/>
        <v>0.14079823399421859</v>
      </c>
      <c r="AF168" s="1043">
        <f t="shared" si="103"/>
        <v>0.1057649493835915</v>
      </c>
      <c r="AG168" s="1043">
        <f t="shared" si="104"/>
        <v>0.24656318337781008</v>
      </c>
      <c r="AH168" s="1280">
        <f t="shared" si="100"/>
        <v>0.57104321928904</v>
      </c>
      <c r="AI168" s="1043">
        <f t="shared" si="101"/>
        <v>0.42895678071096005</v>
      </c>
    </row>
    <row r="169" spans="1:35" x14ac:dyDescent="0.2">
      <c r="A169" s="348">
        <v>2048</v>
      </c>
      <c r="B169" s="362">
        <v>0</v>
      </c>
      <c r="C169" s="363">
        <v>7.4786642568603817E-2</v>
      </c>
      <c r="D169" s="363">
        <v>0.17101012787929165</v>
      </c>
      <c r="E169" s="363">
        <v>0.2413877288685316</v>
      </c>
      <c r="F169" s="363">
        <v>0.24790532715051547</v>
      </c>
      <c r="G169" s="363">
        <v>0.24930084278455317</v>
      </c>
      <c r="H169" s="363">
        <v>0.25346603203641516</v>
      </c>
      <c r="I169" s="363">
        <v>0.25364225663267886</v>
      </c>
      <c r="J169" s="363">
        <v>0.25349198206523932</v>
      </c>
      <c r="K169" s="363">
        <v>0.25294042473288814</v>
      </c>
      <c r="L169" s="398">
        <v>0.2522024946904125</v>
      </c>
      <c r="M169" s="314">
        <f t="shared" si="94"/>
        <v>0.14091669630835385</v>
      </c>
      <c r="N169" s="316">
        <f t="shared" si="95"/>
        <v>0.11386210650509343</v>
      </c>
      <c r="O169" s="362">
        <v>0</v>
      </c>
      <c r="P169" s="363">
        <v>8.4778203530503846E-2</v>
      </c>
      <c r="Q169" s="363">
        <v>0.15884750868383404</v>
      </c>
      <c r="R169" s="363">
        <v>0.27897265418533745</v>
      </c>
      <c r="S169" s="363">
        <v>0.30740988640194572</v>
      </c>
      <c r="T169" s="363">
        <v>0.3198631660177963</v>
      </c>
      <c r="U169" s="363">
        <v>0.32446554856192383</v>
      </c>
      <c r="V169" s="363">
        <v>0.32781443986611014</v>
      </c>
      <c r="W169" s="363">
        <v>0.33118485038888024</v>
      </c>
      <c r="X169" s="363">
        <v>0.32991876321935126</v>
      </c>
      <c r="Y169" s="398">
        <v>0.32907582234953658</v>
      </c>
      <c r="Z169" s="314">
        <f t="shared" si="89"/>
        <v>0.10442281686294816</v>
      </c>
      <c r="AA169" s="316">
        <f t="shared" si="90"/>
        <v>8.7325518582970496E-2</v>
      </c>
      <c r="AB169" s="1054">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1055">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334">
        <f t="shared" si="105"/>
        <v>0</v>
      </c>
      <c r="AE169" s="1043">
        <f t="shared" si="102"/>
        <v>0.14091669630835385</v>
      </c>
      <c r="AF169" s="1043">
        <f t="shared" si="103"/>
        <v>0.10442281686294816</v>
      </c>
      <c r="AG169" s="1043">
        <f t="shared" si="104"/>
        <v>0.24533951317130201</v>
      </c>
      <c r="AH169" s="1280">
        <f t="shared" si="100"/>
        <v>0.57437423954600575</v>
      </c>
      <c r="AI169" s="1043">
        <f t="shared" si="101"/>
        <v>0.42562576045399425</v>
      </c>
    </row>
    <row r="170" spans="1:35" x14ac:dyDescent="0.2">
      <c r="A170" s="348">
        <v>2049</v>
      </c>
      <c r="B170" s="362">
        <v>0</v>
      </c>
      <c r="C170" s="363">
        <v>7.688275831731986E-2</v>
      </c>
      <c r="D170" s="363">
        <v>0.16965120475620929</v>
      </c>
      <c r="E170" s="363">
        <v>0.23930136870984184</v>
      </c>
      <c r="F170" s="363">
        <v>0.2480063637217122</v>
      </c>
      <c r="G170" s="363">
        <v>0.24940403835876218</v>
      </c>
      <c r="H170" s="363">
        <v>0.25357165751863192</v>
      </c>
      <c r="I170" s="363">
        <v>0.25258487473041102</v>
      </c>
      <c r="J170" s="363">
        <v>0.25263762662819039</v>
      </c>
      <c r="K170" s="363">
        <v>0.25304565822001912</v>
      </c>
      <c r="L170" s="398">
        <v>0.25230713118987436</v>
      </c>
      <c r="M170" s="314">
        <f t="shared" si="94"/>
        <v>0.14067004398173702</v>
      </c>
      <c r="N170" s="316">
        <f t="shared" si="95"/>
        <v>0.11370729167885102</v>
      </c>
      <c r="O170" s="362">
        <v>0</v>
      </c>
      <c r="P170" s="363">
        <v>8.0016936574322448E-2</v>
      </c>
      <c r="Q170" s="363">
        <v>0.16093773779303641</v>
      </c>
      <c r="R170" s="363">
        <v>0.27577481454612518</v>
      </c>
      <c r="S170" s="363">
        <v>0.30415001738411895</v>
      </c>
      <c r="T170" s="363">
        <v>0.31661720729004011</v>
      </c>
      <c r="U170" s="363">
        <v>0.32122878652795261</v>
      </c>
      <c r="V170" s="363">
        <v>0.32458861840455072</v>
      </c>
      <c r="W170" s="363">
        <v>0.32796500929151667</v>
      </c>
      <c r="X170" s="363">
        <v>0.32672240187000468</v>
      </c>
      <c r="Y170" s="398">
        <v>0.32589504632571731</v>
      </c>
      <c r="Z170" s="314">
        <f t="shared" si="89"/>
        <v>0.10338387893666712</v>
      </c>
      <c r="AA170" s="316">
        <f t="shared" si="90"/>
        <v>8.6376804859062795E-2</v>
      </c>
      <c r="AB170" s="1054">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1055">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334">
        <f t="shared" si="105"/>
        <v>0</v>
      </c>
      <c r="AE170" s="1043">
        <f t="shared" si="102"/>
        <v>0.14067004398173702</v>
      </c>
      <c r="AF170" s="1043">
        <f t="shared" si="103"/>
        <v>0.10338387893666712</v>
      </c>
      <c r="AG170" s="1043">
        <f t="shared" si="104"/>
        <v>0.24405392291840414</v>
      </c>
      <c r="AH170" s="1280">
        <f t="shared" si="100"/>
        <v>0.57638919423871748</v>
      </c>
      <c r="AI170" s="1043">
        <f t="shared" si="101"/>
        <v>0.42361080576128257</v>
      </c>
    </row>
    <row r="171" spans="1:35" ht="13.5" thickBot="1" x14ac:dyDescent="0.25">
      <c r="A171" s="346">
        <v>2050</v>
      </c>
      <c r="B171" s="364">
        <v>0</v>
      </c>
      <c r="C171" s="365">
        <v>7.5363652860364894E-2</v>
      </c>
      <c r="D171" s="365">
        <v>0.16949563193310113</v>
      </c>
      <c r="E171" s="365">
        <v>0.23993538176468177</v>
      </c>
      <c r="F171" s="365">
        <v>0.2480936792063371</v>
      </c>
      <c r="G171" s="365">
        <v>0.24949320909890099</v>
      </c>
      <c r="H171" s="365">
        <v>0.25231125932604259</v>
      </c>
      <c r="I171" s="365">
        <v>0.25267534424237664</v>
      </c>
      <c r="J171" s="365">
        <v>0.25272811001011986</v>
      </c>
      <c r="K171" s="365">
        <v>0.25313644411543668</v>
      </c>
      <c r="L171" s="399">
        <v>0.25190453028610138</v>
      </c>
      <c r="M171" s="328">
        <f t="shared" si="94"/>
        <v>0.14056361809147411</v>
      </c>
      <c r="N171" s="330">
        <f t="shared" si="95"/>
        <v>0.11356324699649449</v>
      </c>
      <c r="O171" s="364">
        <v>0</v>
      </c>
      <c r="P171" s="365">
        <v>8.0545224700451418E-2</v>
      </c>
      <c r="Q171" s="365">
        <v>0.15984333183285146</v>
      </c>
      <c r="R171" s="365">
        <v>0.27385046826739784</v>
      </c>
      <c r="S171" s="365">
        <v>0.30218383154725265</v>
      </c>
      <c r="T171" s="365">
        <v>0.31465642223927087</v>
      </c>
      <c r="U171" s="365">
        <v>0.31927235269452942</v>
      </c>
      <c r="V171" s="365">
        <v>0.32263779965656214</v>
      </c>
      <c r="W171" s="365">
        <v>0.32601696053664997</v>
      </c>
      <c r="X171" s="365">
        <v>0.32478808867653841</v>
      </c>
      <c r="Y171" s="399">
        <v>0.32396985190446403</v>
      </c>
      <c r="Z171" s="328">
        <f t="shared" si="89"/>
        <v>0.102751940671306</v>
      </c>
      <c r="AA171" s="330">
        <f t="shared" si="90"/>
        <v>8.5885687094796215E-2</v>
      </c>
      <c r="AB171" s="1056">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1057">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335">
        <f t="shared" si="105"/>
        <v>0</v>
      </c>
      <c r="AE171" s="1043">
        <f t="shared" si="102"/>
        <v>0.14056361809147411</v>
      </c>
      <c r="AF171" s="1043">
        <f t="shared" si="103"/>
        <v>0.102751940671306</v>
      </c>
      <c r="AG171" s="1043">
        <f t="shared" si="104"/>
        <v>0.2433155587627801</v>
      </c>
      <c r="AH171" s="1280">
        <f t="shared" si="100"/>
        <v>0.57770090332988633</v>
      </c>
      <c r="AI171" s="1043">
        <f t="shared" si="101"/>
        <v>0.42229909667011367</v>
      </c>
    </row>
    <row r="172" spans="1:35" x14ac:dyDescent="0.2">
      <c r="B172" s="245" t="str">
        <f>B$120</f>
        <v>Output generated: 2/21/2020 18:23</v>
      </c>
      <c r="O172" s="245" t="str">
        <f>O$120</f>
        <v>Output generated: 2/21/2020 18:23</v>
      </c>
      <c r="AE172" s="1043">
        <f t="shared" si="102"/>
        <v>0</v>
      </c>
      <c r="AF172" s="1043">
        <f t="shared" si="103"/>
        <v>0</v>
      </c>
      <c r="AG172" s="1043">
        <f t="shared" si="104"/>
        <v>0</v>
      </c>
      <c r="AH172" s="1280">
        <f t="shared" si="100"/>
        <v>0</v>
      </c>
      <c r="AI172" s="1043">
        <f t="shared" si="101"/>
        <v>0</v>
      </c>
    </row>
    <row r="173" spans="1:35" ht="13.5" thickBot="1" x14ac:dyDescent="0.25">
      <c r="AE173" s="1043"/>
      <c r="AF173" s="1043"/>
      <c r="AG173" s="1043"/>
      <c r="AH173" s="1043"/>
      <c r="AI173" s="1043"/>
    </row>
    <row r="174" spans="1:35" ht="15" x14ac:dyDescent="0.25">
      <c r="A174" s="351"/>
      <c r="B174" s="1561" t="s">
        <v>264</v>
      </c>
      <c r="C174" s="1562"/>
      <c r="D174" s="1562"/>
      <c r="E174" s="1562"/>
      <c r="F174" s="1562"/>
      <c r="G174" s="1562"/>
      <c r="H174" s="1562"/>
      <c r="I174" s="1562"/>
      <c r="J174" s="1562"/>
      <c r="K174" s="1562"/>
      <c r="L174" s="1562"/>
      <c r="M174" s="1562"/>
      <c r="N174" s="1563"/>
      <c r="O174" s="1561" t="s">
        <v>265</v>
      </c>
      <c r="P174" s="1562"/>
      <c r="Q174" s="1562"/>
      <c r="R174" s="1562"/>
      <c r="S174" s="1562"/>
      <c r="T174" s="1562"/>
      <c r="U174" s="1562"/>
      <c r="V174" s="1562"/>
      <c r="W174" s="1562"/>
      <c r="X174" s="1562"/>
      <c r="Y174" s="1562"/>
      <c r="Z174" s="1562"/>
      <c r="AA174" s="1563"/>
      <c r="AE174" s="1043"/>
      <c r="AF174" s="1043"/>
      <c r="AG174" s="1043"/>
      <c r="AH174" s="1043"/>
      <c r="AI174" s="1043"/>
    </row>
    <row r="175" spans="1:35" x14ac:dyDescent="0.2">
      <c r="A175" s="342"/>
      <c r="B175" s="1558" t="s">
        <v>121</v>
      </c>
      <c r="C175" s="1559"/>
      <c r="D175" s="1559"/>
      <c r="E175" s="1559"/>
      <c r="F175" s="1559"/>
      <c r="G175" s="1559"/>
      <c r="H175" s="1559"/>
      <c r="I175" s="1559"/>
      <c r="J175" s="1559"/>
      <c r="K175" s="1559"/>
      <c r="L175" s="1559"/>
      <c r="M175" s="400"/>
      <c r="N175" s="343"/>
      <c r="O175" s="1558" t="s">
        <v>121</v>
      </c>
      <c r="P175" s="1559"/>
      <c r="Q175" s="1559"/>
      <c r="R175" s="1559"/>
      <c r="S175" s="1559"/>
      <c r="T175" s="1559"/>
      <c r="U175" s="1559"/>
      <c r="V175" s="1559"/>
      <c r="W175" s="1559"/>
      <c r="X175" s="1559"/>
      <c r="Y175" s="1559"/>
      <c r="Z175" s="400"/>
      <c r="AA175" s="343"/>
      <c r="AC175" s="1060" t="s">
        <v>276</v>
      </c>
      <c r="AD175" s="252" t="b">
        <f>INDEX(TECH_OPT_FUEL2_Cls2,MATCH(RIGHT(O174),TECH_OPT_ROWS_Cls2,0))&lt;&gt;"N/A"</f>
        <v>1</v>
      </c>
      <c r="AE175" s="1043"/>
      <c r="AF175" s="1043"/>
      <c r="AG175" s="1043"/>
      <c r="AH175" s="1043"/>
      <c r="AI175" s="1043"/>
    </row>
    <row r="176" spans="1:35"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2"/>
      <c r="AC176" s="1060" t="s">
        <v>277</v>
      </c>
      <c r="AD176" s="252">
        <f>MATCH(RIGHT(O174),TECH_OPT_ROWS_Cls2,0)</f>
        <v>4</v>
      </c>
      <c r="AE176" s="1043"/>
      <c r="AF176" s="1043"/>
      <c r="AG176" s="1043"/>
      <c r="AH176" s="1043"/>
      <c r="AI176" s="1043"/>
    </row>
    <row r="177" spans="1:39" ht="14.25" thickTop="1" thickBot="1" x14ac:dyDescent="0.25">
      <c r="A177" s="366" t="s">
        <v>124</v>
      </c>
      <c r="B177" s="358">
        <f t="array" ref="B177:L177">TRANSPOSE(Cls2CentTruckShr)</f>
        <v>3.9559734044076443E-2</v>
      </c>
      <c r="C177" s="359">
        <v>8.9650908809480775E-2</v>
      </c>
      <c r="D177" s="359">
        <v>9.1857251580802685E-2</v>
      </c>
      <c r="E177" s="359">
        <v>9.271536797287637E-2</v>
      </c>
      <c r="F177" s="359">
        <v>0.10920126324528824</v>
      </c>
      <c r="G177" s="359">
        <v>4.7813378096654632E-2</v>
      </c>
      <c r="H177" s="359">
        <v>5.2826626309680449E-2</v>
      </c>
      <c r="I177" s="359">
        <v>3.3324854637922362E-2</v>
      </c>
      <c r="J177" s="359">
        <v>1.4796369103015083E-2</v>
      </c>
      <c r="K177" s="359">
        <v>6.5522293759777608E-3</v>
      </c>
      <c r="L177" s="396">
        <v>1.1207747736094297E-2</v>
      </c>
      <c r="M177" s="402"/>
      <c r="N177" s="354"/>
      <c r="O177" s="358">
        <f t="array" ref="O177:Y177">TRANSPOSE(Cls2NCentTruckShr)</f>
        <v>4.6052840844996765E-2</v>
      </c>
      <c r="P177" s="359">
        <v>6.7033462620106746E-2</v>
      </c>
      <c r="Q177" s="359">
        <v>6.2316087841293416E-2</v>
      </c>
      <c r="R177" s="359">
        <v>6.9108422941336428E-2</v>
      </c>
      <c r="S177" s="359">
        <v>7.8222088301235171E-2</v>
      </c>
      <c r="T177" s="359">
        <v>3.5529474750239771E-2</v>
      </c>
      <c r="U177" s="359">
        <v>3.0248313910710867E-2</v>
      </c>
      <c r="V177" s="359">
        <v>8.2628405675757074E-3</v>
      </c>
      <c r="W177" s="359">
        <v>6.4250307191884484E-3</v>
      </c>
      <c r="X177" s="359">
        <v>1.9993158802676368E-3</v>
      </c>
      <c r="Y177" s="1317">
        <v>5.2963907111801883E-3</v>
      </c>
      <c r="Z177" s="1322"/>
      <c r="AA177" s="1323"/>
    </row>
    <row r="178" spans="1:39" x14ac:dyDescent="0.2">
      <c r="A178" s="349" t="s">
        <v>125</v>
      </c>
      <c r="B178" s="1029">
        <f t="array" ref="B178:L178">TRANSPOSE(Cls2CentVMTShr)</f>
        <v>6.3375455551975849E-3</v>
      </c>
      <c r="C178" s="1030">
        <v>3.496913005496359E-2</v>
      </c>
      <c r="D178" s="1030">
        <v>5.9955127131675522E-2</v>
      </c>
      <c r="E178" s="1030">
        <v>8.4599669387910512E-2</v>
      </c>
      <c r="F178" s="1030">
        <v>0.12702701008436962</v>
      </c>
      <c r="G178" s="1030">
        <v>6.7204731283582092E-2</v>
      </c>
      <c r="H178" s="1030">
        <v>8.8708982453757024E-2</v>
      </c>
      <c r="I178" s="1030">
        <v>6.4694225377098208E-2</v>
      </c>
      <c r="J178" s="1030">
        <v>3.2526447027526634E-2</v>
      </c>
      <c r="K178" s="1030">
        <v>1.589064319454132E-2</v>
      </c>
      <c r="L178" s="1318">
        <v>3.2608183213810787E-2</v>
      </c>
      <c r="M178" s="1319"/>
      <c r="N178" s="1320"/>
      <c r="O178" s="1029">
        <f t="array" ref="O178:Y178">TRANSPOSE(Cls2NCentVMTShr)</f>
        <v>8.1228463417563086E-3</v>
      </c>
      <c r="P178" s="1030">
        <v>2.7563836768431361E-2</v>
      </c>
      <c r="Q178" s="1030">
        <v>4.1883113088337191E-2</v>
      </c>
      <c r="R178" s="1030">
        <v>6.4289357588678764E-2</v>
      </c>
      <c r="S178" s="1030">
        <v>9.1183275251204537E-2</v>
      </c>
      <c r="T178" s="1030">
        <v>5.1984283219922628E-2</v>
      </c>
      <c r="U178" s="1030">
        <v>5.0286059545109812E-2</v>
      </c>
      <c r="V178" s="1030">
        <v>1.5542287574292338E-2</v>
      </c>
      <c r="W178" s="1030">
        <v>1.4506257462625264E-2</v>
      </c>
      <c r="X178" s="1030">
        <v>4.9330966304706684E-3</v>
      </c>
      <c r="Y178" s="1031">
        <v>1.5183891764738403E-2</v>
      </c>
      <c r="Z178" s="1319"/>
      <c r="AA178" s="1320"/>
      <c r="AB178" s="1574" t="str">
        <f>"% of miles on f2 for Tech "&amp; RIGHT(O173)&amp;" adopters"</f>
        <v>% of miles on f2 for Tech  adopters</v>
      </c>
      <c r="AC178" s="1575"/>
      <c r="AD178" s="1576"/>
      <c r="AE178" s="1043" t="s">
        <v>312</v>
      </c>
      <c r="AF178" s="1043"/>
      <c r="AG178" s="1043"/>
      <c r="AH178" s="1280" t="s">
        <v>313</v>
      </c>
      <c r="AI178" s="1043"/>
    </row>
    <row r="179" spans="1:39" ht="13.5" thickBot="1" x14ac:dyDescent="0.25">
      <c r="A179" s="1048" t="s">
        <v>275</v>
      </c>
      <c r="B179" s="1039">
        <f t="array" ref="B179:L179">TRANSPOSE(Cls2CentVMT/OPDAYS_Cls2)</f>
        <v>49.332453271995263</v>
      </c>
      <c r="C179" s="1040">
        <v>120.11441047790339</v>
      </c>
      <c r="D179" s="1040">
        <v>200.99157969807086</v>
      </c>
      <c r="E179" s="1040">
        <v>280.98421424125928</v>
      </c>
      <c r="F179" s="1040">
        <v>358.20644524895255</v>
      </c>
      <c r="G179" s="1040">
        <v>432.82805471770689</v>
      </c>
      <c r="H179" s="1040">
        <v>517.10615118099815</v>
      </c>
      <c r="I179" s="1040">
        <v>597.8087063838957</v>
      </c>
      <c r="J179" s="1040">
        <v>676.93419409560215</v>
      </c>
      <c r="K179" s="1040">
        <v>746.82245226325631</v>
      </c>
      <c r="L179" s="1041">
        <v>895.92826380844349</v>
      </c>
      <c r="M179" s="1037"/>
      <c r="N179" s="1038"/>
      <c r="O179" s="1039">
        <f t="array" ref="O179:Y179">TRANSPOSE(Cls2NCentVMT/OPDAYS_Cls2)</f>
        <v>54.31462614952413</v>
      </c>
      <c r="P179" s="1040">
        <v>126.62311644744663</v>
      </c>
      <c r="Q179" s="1040">
        <v>206.96826351576016</v>
      </c>
      <c r="R179" s="1040">
        <v>286.46600131499179</v>
      </c>
      <c r="S179" s="1040">
        <v>358.9638908170715</v>
      </c>
      <c r="T179" s="1040">
        <v>450.55545819643328</v>
      </c>
      <c r="U179" s="1040">
        <v>511.93098482414172</v>
      </c>
      <c r="V179" s="1040">
        <v>579.22933632093111</v>
      </c>
      <c r="W179" s="1040">
        <v>695.25665569614875</v>
      </c>
      <c r="X179" s="1040">
        <v>759.80682330760794</v>
      </c>
      <c r="Y179" s="1321">
        <v>882.81167173661356</v>
      </c>
      <c r="Z179" s="1049"/>
      <c r="AA179" s="1038"/>
      <c r="AB179" s="1051" t="s">
        <v>188</v>
      </c>
      <c r="AC179" s="1052" t="s">
        <v>15</v>
      </c>
      <c r="AD179" s="1053" t="s">
        <v>18</v>
      </c>
      <c r="AE179" s="1043" t="s">
        <v>188</v>
      </c>
      <c r="AF179" s="1043" t="s">
        <v>15</v>
      </c>
      <c r="AG179" s="1043" t="s">
        <v>18</v>
      </c>
      <c r="AH179" s="1280" t="s">
        <v>188</v>
      </c>
      <c r="AI179" s="1043" t="s">
        <v>15</v>
      </c>
      <c r="AJ179" s="341"/>
      <c r="AK179" s="341"/>
      <c r="AL179" s="341"/>
      <c r="AM179" s="341"/>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SUMPRODUCT($B$178:$L$178,$B180:$L180)</f>
        <v>0</v>
      </c>
      <c r="N180" s="302">
        <f>SUMPRODUCT($B$177:$L$177,$B180:$L180)</f>
        <v>0</v>
      </c>
      <c r="O180" s="360">
        <v>0</v>
      </c>
      <c r="P180" s="361">
        <v>0</v>
      </c>
      <c r="Q180" s="361">
        <v>0</v>
      </c>
      <c r="R180" s="361">
        <v>0</v>
      </c>
      <c r="S180" s="361">
        <v>0</v>
      </c>
      <c r="T180" s="361">
        <v>0</v>
      </c>
      <c r="U180" s="361">
        <v>0</v>
      </c>
      <c r="V180" s="361">
        <v>0</v>
      </c>
      <c r="W180" s="361">
        <v>0</v>
      </c>
      <c r="X180" s="361">
        <v>0</v>
      </c>
      <c r="Y180" s="397">
        <v>0</v>
      </c>
      <c r="Z180" s="405">
        <f>SUMPRODUCT($O$178:$Y$178,$O180:$Y180)</f>
        <v>0</v>
      </c>
      <c r="AA180" s="302">
        <f>SUMPRODUCT($O$177:$Y$177,$O180:$Y180)</f>
        <v>0</v>
      </c>
      <c r="AB180" s="1054">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1055">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334">
        <f>AB180*AH180+AC180*AI180</f>
        <v>0</v>
      </c>
      <c r="AE180" s="1043">
        <f t="shared" ref="AE180:AE194" si="106">SUMPRODUCT($B$74:$L$74,B180:L180)</f>
        <v>0</v>
      </c>
      <c r="AF180" s="1043">
        <f t="shared" ref="AF180:AF194" si="107">SUMPRODUCT($O$74:$Y$74,O180:Y180)</f>
        <v>0</v>
      </c>
      <c r="AG180" s="1043">
        <f t="shared" ref="AG180:AG194" si="108">SUM(AE180:AF180)</f>
        <v>0</v>
      </c>
      <c r="AH180" s="1280">
        <f>IF(AG180&gt;0,AE180/AG180,0)</f>
        <v>0</v>
      </c>
      <c r="AI180" s="1043">
        <f>IF(AG180&gt;0,AF180/AG180,0)</f>
        <v>0</v>
      </c>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9">SUMPRODUCT($B$178:$L$178,$B181:$L181)</f>
        <v>0</v>
      </c>
      <c r="N181" s="316">
        <f t="shared" ref="N181:N223" si="110">SUMPRODUCT($B$177:$L$177,$B181:$L181)</f>
        <v>0</v>
      </c>
      <c r="O181" s="362">
        <v>0</v>
      </c>
      <c r="P181" s="363">
        <v>0</v>
      </c>
      <c r="Q181" s="363">
        <v>0</v>
      </c>
      <c r="R181" s="363">
        <v>0</v>
      </c>
      <c r="S181" s="363">
        <v>0</v>
      </c>
      <c r="T181" s="363">
        <v>0</v>
      </c>
      <c r="U181" s="363">
        <v>0</v>
      </c>
      <c r="V181" s="363">
        <v>0</v>
      </c>
      <c r="W181" s="363">
        <v>0</v>
      </c>
      <c r="X181" s="363">
        <v>0</v>
      </c>
      <c r="Y181" s="398">
        <v>0</v>
      </c>
      <c r="Z181" s="314">
        <f t="shared" ref="Z181:Z223" si="111">SUMPRODUCT($O$178:$Y$178,$O181:$Y181)</f>
        <v>0</v>
      </c>
      <c r="AA181" s="316">
        <f t="shared" ref="AA181:AA223" si="112">SUMPRODUCT($O$177:$Y$177,$O181:$Y181)</f>
        <v>0</v>
      </c>
      <c r="AB181" s="1054">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1055">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334">
        <f t="shared" ref="AD181:AD205" si="113">AB181*AH181+AC181*AI181</f>
        <v>0</v>
      </c>
      <c r="AE181" s="1043">
        <f t="shared" si="106"/>
        <v>0</v>
      </c>
      <c r="AF181" s="1043">
        <f t="shared" si="107"/>
        <v>0</v>
      </c>
      <c r="AG181" s="1043">
        <f t="shared" si="108"/>
        <v>0</v>
      </c>
      <c r="AH181" s="1280">
        <f t="shared" ref="AH181:AH199" si="114">IF(AG181&gt;0,AE181/AG181,0)</f>
        <v>0</v>
      </c>
      <c r="AI181" s="1043">
        <f t="shared" ref="AI181:AI199" si="115">IF(AG181&gt;0,AF181/AG181,0)</f>
        <v>0</v>
      </c>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9"/>
        <v>0</v>
      </c>
      <c r="N182" s="316">
        <f t="shared" si="110"/>
        <v>0</v>
      </c>
      <c r="O182" s="362">
        <v>0</v>
      </c>
      <c r="P182" s="363">
        <v>0</v>
      </c>
      <c r="Q182" s="363">
        <v>0</v>
      </c>
      <c r="R182" s="363">
        <v>0</v>
      </c>
      <c r="S182" s="363">
        <v>0</v>
      </c>
      <c r="T182" s="363">
        <v>0</v>
      </c>
      <c r="U182" s="363">
        <v>0</v>
      </c>
      <c r="V182" s="363">
        <v>0</v>
      </c>
      <c r="W182" s="363">
        <v>0</v>
      </c>
      <c r="X182" s="363">
        <v>0</v>
      </c>
      <c r="Y182" s="398">
        <v>0</v>
      </c>
      <c r="Z182" s="314">
        <f t="shared" si="111"/>
        <v>0</v>
      </c>
      <c r="AA182" s="316">
        <f t="shared" si="112"/>
        <v>0</v>
      </c>
      <c r="AB182" s="1054">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1055">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334">
        <f t="shared" si="113"/>
        <v>0</v>
      </c>
      <c r="AE182" s="1043">
        <f t="shared" si="106"/>
        <v>0</v>
      </c>
      <c r="AF182" s="1043">
        <f t="shared" si="107"/>
        <v>0</v>
      </c>
      <c r="AG182" s="1043">
        <f t="shared" si="108"/>
        <v>0</v>
      </c>
      <c r="AH182" s="1280">
        <f t="shared" si="114"/>
        <v>0</v>
      </c>
      <c r="AI182" s="1043">
        <f t="shared" si="115"/>
        <v>0</v>
      </c>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9"/>
        <v>0</v>
      </c>
      <c r="N183" s="330">
        <f t="shared" si="110"/>
        <v>0</v>
      </c>
      <c r="O183" s="364">
        <v>0</v>
      </c>
      <c r="P183" s="365">
        <v>0</v>
      </c>
      <c r="Q183" s="365">
        <v>0</v>
      </c>
      <c r="R183" s="365">
        <v>0</v>
      </c>
      <c r="S183" s="365">
        <v>0</v>
      </c>
      <c r="T183" s="365">
        <v>0</v>
      </c>
      <c r="U183" s="365">
        <v>0</v>
      </c>
      <c r="V183" s="365">
        <v>0</v>
      </c>
      <c r="W183" s="365">
        <v>0</v>
      </c>
      <c r="X183" s="365">
        <v>0</v>
      </c>
      <c r="Y183" s="399">
        <v>0</v>
      </c>
      <c r="Z183" s="328">
        <f t="shared" si="111"/>
        <v>0</v>
      </c>
      <c r="AA183" s="330">
        <f t="shared" si="112"/>
        <v>0</v>
      </c>
      <c r="AB183" s="1054">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1055">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334">
        <f t="shared" si="113"/>
        <v>0</v>
      </c>
      <c r="AE183" s="1043">
        <f t="shared" si="106"/>
        <v>0</v>
      </c>
      <c r="AF183" s="1043">
        <f t="shared" si="107"/>
        <v>0</v>
      </c>
      <c r="AG183" s="1043">
        <f t="shared" si="108"/>
        <v>0</v>
      </c>
      <c r="AH183" s="1280">
        <f t="shared" si="114"/>
        <v>0</v>
      </c>
      <c r="AI183" s="1043">
        <f t="shared" si="115"/>
        <v>0</v>
      </c>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9"/>
        <v>0</v>
      </c>
      <c r="N184" s="302">
        <f t="shared" si="110"/>
        <v>0</v>
      </c>
      <c r="O184" s="360">
        <v>0</v>
      </c>
      <c r="P184" s="361">
        <v>0</v>
      </c>
      <c r="Q184" s="361">
        <v>0</v>
      </c>
      <c r="R184" s="361">
        <v>0</v>
      </c>
      <c r="S184" s="361">
        <v>0</v>
      </c>
      <c r="T184" s="361">
        <v>0</v>
      </c>
      <c r="U184" s="361">
        <v>0</v>
      </c>
      <c r="V184" s="361">
        <v>0</v>
      </c>
      <c r="W184" s="361">
        <v>0</v>
      </c>
      <c r="X184" s="361">
        <v>0</v>
      </c>
      <c r="Y184" s="397">
        <v>0</v>
      </c>
      <c r="Z184" s="300">
        <f t="shared" si="111"/>
        <v>0</v>
      </c>
      <c r="AA184" s="302">
        <f t="shared" si="112"/>
        <v>0</v>
      </c>
      <c r="AB184" s="1054">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1055">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334">
        <f t="shared" si="113"/>
        <v>0</v>
      </c>
      <c r="AE184" s="1043">
        <f t="shared" si="106"/>
        <v>0</v>
      </c>
      <c r="AF184" s="1043">
        <f t="shared" si="107"/>
        <v>0</v>
      </c>
      <c r="AG184" s="1043">
        <f t="shared" si="108"/>
        <v>0</v>
      </c>
      <c r="AH184" s="1280">
        <f t="shared" si="114"/>
        <v>0</v>
      </c>
      <c r="AI184" s="1043">
        <f t="shared" si="115"/>
        <v>0</v>
      </c>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9"/>
        <v>0</v>
      </c>
      <c r="N185" s="316">
        <f t="shared" si="110"/>
        <v>0</v>
      </c>
      <c r="O185" s="362">
        <v>0</v>
      </c>
      <c r="P185" s="363">
        <v>0</v>
      </c>
      <c r="Q185" s="363">
        <v>0</v>
      </c>
      <c r="R185" s="363">
        <v>0</v>
      </c>
      <c r="S185" s="363">
        <v>0</v>
      </c>
      <c r="T185" s="363">
        <v>0</v>
      </c>
      <c r="U185" s="363">
        <v>0</v>
      </c>
      <c r="V185" s="363">
        <v>0</v>
      </c>
      <c r="W185" s="363">
        <v>0</v>
      </c>
      <c r="X185" s="363">
        <v>0</v>
      </c>
      <c r="Y185" s="398">
        <v>0</v>
      </c>
      <c r="Z185" s="314">
        <f t="shared" si="111"/>
        <v>0</v>
      </c>
      <c r="AA185" s="316">
        <f t="shared" si="112"/>
        <v>0</v>
      </c>
      <c r="AB185" s="1054">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1055">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334">
        <f t="shared" si="113"/>
        <v>0</v>
      </c>
      <c r="AE185" s="1043">
        <f t="shared" si="106"/>
        <v>0</v>
      </c>
      <c r="AF185" s="1043">
        <f t="shared" si="107"/>
        <v>0</v>
      </c>
      <c r="AG185" s="1043">
        <f t="shared" si="108"/>
        <v>0</v>
      </c>
      <c r="AH185" s="1280">
        <f t="shared" si="114"/>
        <v>0</v>
      </c>
      <c r="AI185" s="1043">
        <f t="shared" si="115"/>
        <v>0</v>
      </c>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9"/>
        <v>0</v>
      </c>
      <c r="N186" s="316">
        <f t="shared" si="110"/>
        <v>0</v>
      </c>
      <c r="O186" s="362">
        <v>0</v>
      </c>
      <c r="P186" s="363">
        <v>0</v>
      </c>
      <c r="Q186" s="363">
        <v>0</v>
      </c>
      <c r="R186" s="363">
        <v>0</v>
      </c>
      <c r="S186" s="363">
        <v>0</v>
      </c>
      <c r="T186" s="363">
        <v>0</v>
      </c>
      <c r="U186" s="363">
        <v>0</v>
      </c>
      <c r="V186" s="363">
        <v>0</v>
      </c>
      <c r="W186" s="363">
        <v>0</v>
      </c>
      <c r="X186" s="363">
        <v>0</v>
      </c>
      <c r="Y186" s="398">
        <v>0</v>
      </c>
      <c r="Z186" s="314">
        <f t="shared" si="111"/>
        <v>0</v>
      </c>
      <c r="AA186" s="316">
        <f t="shared" si="112"/>
        <v>0</v>
      </c>
      <c r="AB186" s="1054">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1055">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334">
        <f t="shared" si="113"/>
        <v>0</v>
      </c>
      <c r="AE186" s="1043">
        <f t="shared" si="106"/>
        <v>0</v>
      </c>
      <c r="AF186" s="1043">
        <f t="shared" si="107"/>
        <v>0</v>
      </c>
      <c r="AG186" s="1043">
        <f t="shared" si="108"/>
        <v>0</v>
      </c>
      <c r="AH186" s="1280">
        <f t="shared" si="114"/>
        <v>0</v>
      </c>
      <c r="AI186" s="1043">
        <f t="shared" si="115"/>
        <v>0</v>
      </c>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9"/>
        <v>0</v>
      </c>
      <c r="N187" s="316">
        <f t="shared" si="110"/>
        <v>0</v>
      </c>
      <c r="O187" s="362">
        <v>0</v>
      </c>
      <c r="P187" s="363">
        <v>0</v>
      </c>
      <c r="Q187" s="363">
        <v>0</v>
      </c>
      <c r="R187" s="363">
        <v>0</v>
      </c>
      <c r="S187" s="363">
        <v>0</v>
      </c>
      <c r="T187" s="363">
        <v>0</v>
      </c>
      <c r="U187" s="363">
        <v>0</v>
      </c>
      <c r="V187" s="363">
        <v>0</v>
      </c>
      <c r="W187" s="363">
        <v>0</v>
      </c>
      <c r="X187" s="363">
        <v>0</v>
      </c>
      <c r="Y187" s="398">
        <v>0</v>
      </c>
      <c r="Z187" s="314">
        <f t="shared" si="111"/>
        <v>0</v>
      </c>
      <c r="AA187" s="316">
        <f t="shared" si="112"/>
        <v>0</v>
      </c>
      <c r="AB187" s="1054">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1055">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334">
        <f t="shared" si="113"/>
        <v>0</v>
      </c>
      <c r="AE187" s="1043">
        <f t="shared" si="106"/>
        <v>0</v>
      </c>
      <c r="AF187" s="1043">
        <f t="shared" si="107"/>
        <v>0</v>
      </c>
      <c r="AG187" s="1043">
        <f t="shared" si="108"/>
        <v>0</v>
      </c>
      <c r="AH187" s="1280">
        <f t="shared" si="114"/>
        <v>0</v>
      </c>
      <c r="AI187" s="1043">
        <f t="shared" si="115"/>
        <v>0</v>
      </c>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9"/>
        <v>0</v>
      </c>
      <c r="N188" s="330">
        <f t="shared" si="110"/>
        <v>0</v>
      </c>
      <c r="O188" s="364">
        <v>0</v>
      </c>
      <c r="P188" s="365">
        <v>0</v>
      </c>
      <c r="Q188" s="365">
        <v>0</v>
      </c>
      <c r="R188" s="365">
        <v>0</v>
      </c>
      <c r="S188" s="365">
        <v>0</v>
      </c>
      <c r="T188" s="365">
        <v>0</v>
      </c>
      <c r="U188" s="365">
        <v>0</v>
      </c>
      <c r="V188" s="365">
        <v>0</v>
      </c>
      <c r="W188" s="365">
        <v>0</v>
      </c>
      <c r="X188" s="365">
        <v>0</v>
      </c>
      <c r="Y188" s="399">
        <v>0</v>
      </c>
      <c r="Z188" s="328">
        <f t="shared" si="111"/>
        <v>0</v>
      </c>
      <c r="AA188" s="330">
        <f t="shared" si="112"/>
        <v>0</v>
      </c>
      <c r="AB188" s="1054">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1055">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334">
        <f t="shared" si="113"/>
        <v>0</v>
      </c>
      <c r="AE188" s="1043">
        <f t="shared" si="106"/>
        <v>0</v>
      </c>
      <c r="AF188" s="1043">
        <f t="shared" si="107"/>
        <v>0</v>
      </c>
      <c r="AG188" s="1043">
        <f t="shared" si="108"/>
        <v>0</v>
      </c>
      <c r="AH188" s="1280">
        <f t="shared" si="114"/>
        <v>0</v>
      </c>
      <c r="AI188" s="1043">
        <f t="shared" si="115"/>
        <v>0</v>
      </c>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9"/>
        <v>0</v>
      </c>
      <c r="N189" s="302">
        <f t="shared" si="110"/>
        <v>0</v>
      </c>
      <c r="O189" s="360">
        <v>0</v>
      </c>
      <c r="P189" s="361">
        <v>0</v>
      </c>
      <c r="Q189" s="361">
        <v>0</v>
      </c>
      <c r="R189" s="361">
        <v>0</v>
      </c>
      <c r="S189" s="361">
        <v>0</v>
      </c>
      <c r="T189" s="361">
        <v>0</v>
      </c>
      <c r="U189" s="361">
        <v>0</v>
      </c>
      <c r="V189" s="361">
        <v>0</v>
      </c>
      <c r="W189" s="361">
        <v>0</v>
      </c>
      <c r="X189" s="361">
        <v>0</v>
      </c>
      <c r="Y189" s="397">
        <v>0</v>
      </c>
      <c r="Z189" s="300">
        <f t="shared" si="111"/>
        <v>0</v>
      </c>
      <c r="AA189" s="302">
        <f t="shared" si="112"/>
        <v>0</v>
      </c>
      <c r="AB189" s="1054">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1055">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334">
        <f t="shared" si="113"/>
        <v>0</v>
      </c>
      <c r="AE189" s="1043">
        <f t="shared" si="106"/>
        <v>0</v>
      </c>
      <c r="AF189" s="1043">
        <f t="shared" si="107"/>
        <v>0</v>
      </c>
      <c r="AG189" s="1043">
        <f t="shared" si="108"/>
        <v>0</v>
      </c>
      <c r="AH189" s="1280">
        <f t="shared" si="114"/>
        <v>0</v>
      </c>
      <c r="AI189" s="1043">
        <f t="shared" si="115"/>
        <v>0</v>
      </c>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9"/>
        <v>0</v>
      </c>
      <c r="N190" s="316">
        <f t="shared" si="110"/>
        <v>0</v>
      </c>
      <c r="O190" s="362">
        <v>0</v>
      </c>
      <c r="P190" s="363">
        <v>0</v>
      </c>
      <c r="Q190" s="363">
        <v>0</v>
      </c>
      <c r="R190" s="363">
        <v>0</v>
      </c>
      <c r="S190" s="363">
        <v>0</v>
      </c>
      <c r="T190" s="363">
        <v>0</v>
      </c>
      <c r="U190" s="363">
        <v>0</v>
      </c>
      <c r="V190" s="363">
        <v>0</v>
      </c>
      <c r="W190" s="363">
        <v>0</v>
      </c>
      <c r="X190" s="363">
        <v>0</v>
      </c>
      <c r="Y190" s="398">
        <v>0</v>
      </c>
      <c r="Z190" s="314">
        <f t="shared" si="111"/>
        <v>0</v>
      </c>
      <c r="AA190" s="316">
        <f t="shared" si="112"/>
        <v>0</v>
      </c>
      <c r="AB190" s="1054">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1055">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334">
        <f t="shared" si="113"/>
        <v>0</v>
      </c>
      <c r="AE190" s="1043">
        <f t="shared" si="106"/>
        <v>0</v>
      </c>
      <c r="AF190" s="1043">
        <f t="shared" si="107"/>
        <v>0</v>
      </c>
      <c r="AG190" s="1043">
        <f t="shared" si="108"/>
        <v>0</v>
      </c>
      <c r="AH190" s="1280">
        <f t="shared" si="114"/>
        <v>0</v>
      </c>
      <c r="AI190" s="1043">
        <f t="shared" si="115"/>
        <v>0</v>
      </c>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9"/>
        <v>0</v>
      </c>
      <c r="N191" s="316">
        <f t="shared" si="110"/>
        <v>0</v>
      </c>
      <c r="O191" s="362">
        <v>0</v>
      </c>
      <c r="P191" s="363">
        <v>0</v>
      </c>
      <c r="Q191" s="363">
        <v>0</v>
      </c>
      <c r="R191" s="363">
        <v>0</v>
      </c>
      <c r="S191" s="363">
        <v>0</v>
      </c>
      <c r="T191" s="363">
        <v>0</v>
      </c>
      <c r="U191" s="363">
        <v>0</v>
      </c>
      <c r="V191" s="363">
        <v>0</v>
      </c>
      <c r="W191" s="363">
        <v>0</v>
      </c>
      <c r="X191" s="363">
        <v>0</v>
      </c>
      <c r="Y191" s="398">
        <v>0</v>
      </c>
      <c r="Z191" s="314">
        <f t="shared" si="111"/>
        <v>0</v>
      </c>
      <c r="AA191" s="316">
        <f t="shared" si="112"/>
        <v>0</v>
      </c>
      <c r="AB191" s="1054">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1055">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334">
        <f t="shared" si="113"/>
        <v>0</v>
      </c>
      <c r="AE191" s="1043">
        <f t="shared" si="106"/>
        <v>0</v>
      </c>
      <c r="AF191" s="1043">
        <f t="shared" si="107"/>
        <v>0</v>
      </c>
      <c r="AG191" s="1043">
        <f t="shared" si="108"/>
        <v>0</v>
      </c>
      <c r="AH191" s="1280">
        <f t="shared" si="114"/>
        <v>0</v>
      </c>
      <c r="AI191" s="1043">
        <f t="shared" si="115"/>
        <v>0</v>
      </c>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9"/>
        <v>0</v>
      </c>
      <c r="N192" s="316">
        <f t="shared" si="110"/>
        <v>0</v>
      </c>
      <c r="O192" s="362">
        <v>0</v>
      </c>
      <c r="P192" s="363">
        <v>0</v>
      </c>
      <c r="Q192" s="363">
        <v>0</v>
      </c>
      <c r="R192" s="363">
        <v>0</v>
      </c>
      <c r="S192" s="363">
        <v>0</v>
      </c>
      <c r="T192" s="363">
        <v>0</v>
      </c>
      <c r="U192" s="363">
        <v>0</v>
      </c>
      <c r="V192" s="363">
        <v>0</v>
      </c>
      <c r="W192" s="363">
        <v>0</v>
      </c>
      <c r="X192" s="363">
        <v>0</v>
      </c>
      <c r="Y192" s="398">
        <v>0</v>
      </c>
      <c r="Z192" s="314">
        <f t="shared" si="111"/>
        <v>0</v>
      </c>
      <c r="AA192" s="316">
        <f t="shared" si="112"/>
        <v>0</v>
      </c>
      <c r="AB192" s="1054">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1055">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334">
        <f t="shared" si="113"/>
        <v>0</v>
      </c>
      <c r="AE192" s="1043">
        <f t="shared" si="106"/>
        <v>0</v>
      </c>
      <c r="AF192" s="1043">
        <f t="shared" si="107"/>
        <v>0</v>
      </c>
      <c r="AG192" s="1043">
        <f t="shared" si="108"/>
        <v>0</v>
      </c>
      <c r="AH192" s="1280">
        <f t="shared" si="114"/>
        <v>0</v>
      </c>
      <c r="AI192" s="1043">
        <f t="shared" si="115"/>
        <v>0</v>
      </c>
    </row>
    <row r="193" spans="1:35"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9"/>
        <v>0</v>
      </c>
      <c r="N193" s="330">
        <f t="shared" si="110"/>
        <v>0</v>
      </c>
      <c r="O193" s="364">
        <v>0</v>
      </c>
      <c r="P193" s="365">
        <v>0</v>
      </c>
      <c r="Q193" s="365">
        <v>0</v>
      </c>
      <c r="R193" s="365">
        <v>0</v>
      </c>
      <c r="S193" s="365">
        <v>0</v>
      </c>
      <c r="T193" s="365">
        <v>0</v>
      </c>
      <c r="U193" s="365">
        <v>0</v>
      </c>
      <c r="V193" s="365">
        <v>0</v>
      </c>
      <c r="W193" s="365">
        <v>0</v>
      </c>
      <c r="X193" s="365">
        <v>0</v>
      </c>
      <c r="Y193" s="399">
        <v>0</v>
      </c>
      <c r="Z193" s="328">
        <f t="shared" si="111"/>
        <v>0</v>
      </c>
      <c r="AA193" s="330">
        <f t="shared" si="112"/>
        <v>0</v>
      </c>
      <c r="AB193" s="1054">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1055">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334">
        <f t="shared" si="113"/>
        <v>0</v>
      </c>
      <c r="AE193" s="1043">
        <f t="shared" si="106"/>
        <v>0</v>
      </c>
      <c r="AF193" s="1043">
        <f t="shared" si="107"/>
        <v>0</v>
      </c>
      <c r="AG193" s="1043">
        <f t="shared" si="108"/>
        <v>0</v>
      </c>
      <c r="AH193" s="1280">
        <f t="shared" si="114"/>
        <v>0</v>
      </c>
      <c r="AI193" s="1043">
        <f t="shared" si="115"/>
        <v>0</v>
      </c>
    </row>
    <row r="194" spans="1:35" x14ac:dyDescent="0.2">
      <c r="A194" s="347">
        <v>2021</v>
      </c>
      <c r="B194" s="360">
        <v>0</v>
      </c>
      <c r="C194" s="361">
        <v>0</v>
      </c>
      <c r="D194" s="361">
        <v>0</v>
      </c>
      <c r="E194" s="361">
        <v>0</v>
      </c>
      <c r="F194" s="361">
        <v>0</v>
      </c>
      <c r="G194" s="361">
        <v>0</v>
      </c>
      <c r="H194" s="361">
        <v>0</v>
      </c>
      <c r="I194" s="361">
        <v>0</v>
      </c>
      <c r="J194" s="361">
        <v>0</v>
      </c>
      <c r="K194" s="361">
        <v>0</v>
      </c>
      <c r="L194" s="397">
        <v>0</v>
      </c>
      <c r="M194" s="300">
        <f t="shared" si="109"/>
        <v>0</v>
      </c>
      <c r="N194" s="302">
        <f t="shared" si="110"/>
        <v>0</v>
      </c>
      <c r="O194" s="360">
        <v>0</v>
      </c>
      <c r="P194" s="361">
        <v>0</v>
      </c>
      <c r="Q194" s="361">
        <v>0</v>
      </c>
      <c r="R194" s="361">
        <v>0</v>
      </c>
      <c r="S194" s="361">
        <v>0</v>
      </c>
      <c r="T194" s="361">
        <v>0</v>
      </c>
      <c r="U194" s="361">
        <v>0</v>
      </c>
      <c r="V194" s="361">
        <v>0</v>
      </c>
      <c r="W194" s="361">
        <v>0</v>
      </c>
      <c r="X194" s="361">
        <v>0</v>
      </c>
      <c r="Y194" s="397">
        <v>0</v>
      </c>
      <c r="Z194" s="300">
        <f t="shared" si="111"/>
        <v>0</v>
      </c>
      <c r="AA194" s="302">
        <f t="shared" si="112"/>
        <v>0</v>
      </c>
      <c r="AB194" s="1054">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1055">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334">
        <f t="shared" si="113"/>
        <v>0</v>
      </c>
      <c r="AE194" s="1043">
        <f t="shared" si="106"/>
        <v>0</v>
      </c>
      <c r="AF194" s="1043">
        <f t="shared" si="107"/>
        <v>0</v>
      </c>
      <c r="AG194" s="1043">
        <f t="shared" si="108"/>
        <v>0</v>
      </c>
      <c r="AH194" s="1280">
        <f t="shared" si="114"/>
        <v>0</v>
      </c>
      <c r="AI194" s="1043">
        <f t="shared" si="115"/>
        <v>0</v>
      </c>
    </row>
    <row r="195" spans="1:35" x14ac:dyDescent="0.2">
      <c r="A195" s="348">
        <v>2022</v>
      </c>
      <c r="B195" s="362">
        <v>0</v>
      </c>
      <c r="C195" s="363">
        <v>0</v>
      </c>
      <c r="D195" s="363">
        <v>0</v>
      </c>
      <c r="E195" s="363">
        <v>0</v>
      </c>
      <c r="F195" s="363">
        <v>0</v>
      </c>
      <c r="G195" s="363">
        <v>0</v>
      </c>
      <c r="H195" s="363">
        <v>0</v>
      </c>
      <c r="I195" s="363">
        <v>0</v>
      </c>
      <c r="J195" s="363">
        <v>0</v>
      </c>
      <c r="K195" s="363">
        <v>0</v>
      </c>
      <c r="L195" s="398">
        <v>0</v>
      </c>
      <c r="M195" s="314">
        <f t="shared" si="109"/>
        <v>0</v>
      </c>
      <c r="N195" s="316">
        <f t="shared" si="110"/>
        <v>0</v>
      </c>
      <c r="O195" s="362">
        <v>0</v>
      </c>
      <c r="P195" s="363">
        <v>0</v>
      </c>
      <c r="Q195" s="363">
        <v>0</v>
      </c>
      <c r="R195" s="363">
        <v>0</v>
      </c>
      <c r="S195" s="363">
        <v>0</v>
      </c>
      <c r="T195" s="363">
        <v>0</v>
      </c>
      <c r="U195" s="363">
        <v>0</v>
      </c>
      <c r="V195" s="363">
        <v>0</v>
      </c>
      <c r="W195" s="363">
        <v>0</v>
      </c>
      <c r="X195" s="363">
        <v>0</v>
      </c>
      <c r="Y195" s="398">
        <v>0</v>
      </c>
      <c r="Z195" s="314">
        <f t="shared" si="111"/>
        <v>0</v>
      </c>
      <c r="AA195" s="316">
        <f t="shared" si="112"/>
        <v>0</v>
      </c>
      <c r="AB195" s="1054">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1055">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334">
        <f t="shared" si="113"/>
        <v>0</v>
      </c>
      <c r="AE195" s="1043">
        <f>SUMPRODUCT($B$74:$L$74,B195:L195)</f>
        <v>0</v>
      </c>
      <c r="AF195" s="1043">
        <f>SUMPRODUCT($O$74:$Y$74,O195:Y195)</f>
        <v>0</v>
      </c>
      <c r="AG195" s="1043">
        <f>SUM(AE195:AF195)</f>
        <v>0</v>
      </c>
      <c r="AH195" s="1280">
        <f t="shared" si="114"/>
        <v>0</v>
      </c>
      <c r="AI195" s="1043">
        <f t="shared" si="115"/>
        <v>0</v>
      </c>
    </row>
    <row r="196" spans="1:35" x14ac:dyDescent="0.2">
      <c r="A196" s="348">
        <v>2023</v>
      </c>
      <c r="B196" s="362">
        <v>0</v>
      </c>
      <c r="C196" s="363">
        <v>0</v>
      </c>
      <c r="D196" s="363">
        <v>0</v>
      </c>
      <c r="E196" s="363">
        <v>0</v>
      </c>
      <c r="F196" s="363">
        <v>0</v>
      </c>
      <c r="G196" s="363">
        <v>0</v>
      </c>
      <c r="H196" s="363">
        <v>0</v>
      </c>
      <c r="I196" s="363">
        <v>0</v>
      </c>
      <c r="J196" s="363">
        <v>0</v>
      </c>
      <c r="K196" s="363">
        <v>0</v>
      </c>
      <c r="L196" s="398">
        <v>0</v>
      </c>
      <c r="M196" s="314">
        <f t="shared" si="109"/>
        <v>0</v>
      </c>
      <c r="N196" s="316">
        <f t="shared" si="110"/>
        <v>0</v>
      </c>
      <c r="O196" s="362">
        <v>0</v>
      </c>
      <c r="P196" s="363">
        <v>0</v>
      </c>
      <c r="Q196" s="363">
        <v>0</v>
      </c>
      <c r="R196" s="363">
        <v>0</v>
      </c>
      <c r="S196" s="363">
        <v>0</v>
      </c>
      <c r="T196" s="363">
        <v>0</v>
      </c>
      <c r="U196" s="363">
        <v>0</v>
      </c>
      <c r="V196" s="363">
        <v>0</v>
      </c>
      <c r="W196" s="363">
        <v>0</v>
      </c>
      <c r="X196" s="363">
        <v>0</v>
      </c>
      <c r="Y196" s="398">
        <v>0</v>
      </c>
      <c r="Z196" s="314">
        <f t="shared" si="111"/>
        <v>0</v>
      </c>
      <c r="AA196" s="316">
        <f t="shared" si="112"/>
        <v>0</v>
      </c>
      <c r="AB196" s="1054">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1055">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334">
        <f t="shared" si="113"/>
        <v>0</v>
      </c>
      <c r="AE196" s="1043">
        <f t="shared" ref="AE196:AE222" si="116">SUMPRODUCT($B$74:$L$74,B196:L196)</f>
        <v>0</v>
      </c>
      <c r="AF196" s="1043">
        <f t="shared" ref="AF196:AF222" si="117">SUMPRODUCT($O$74:$Y$74,O196:Y196)</f>
        <v>0</v>
      </c>
      <c r="AG196" s="1043">
        <f t="shared" ref="AG196:AG222" si="118">SUM(AE196:AF196)</f>
        <v>0</v>
      </c>
      <c r="AH196" s="1280">
        <f t="shared" si="114"/>
        <v>0</v>
      </c>
      <c r="AI196" s="1043">
        <f t="shared" si="115"/>
        <v>0</v>
      </c>
    </row>
    <row r="197" spans="1:35" x14ac:dyDescent="0.2">
      <c r="A197" s="348">
        <v>2024</v>
      </c>
      <c r="B197" s="362">
        <v>0</v>
      </c>
      <c r="C197" s="363">
        <v>0</v>
      </c>
      <c r="D197" s="363">
        <v>0</v>
      </c>
      <c r="E197" s="363">
        <v>0</v>
      </c>
      <c r="F197" s="363">
        <v>0</v>
      </c>
      <c r="G197" s="363">
        <v>0</v>
      </c>
      <c r="H197" s="363">
        <v>0</v>
      </c>
      <c r="I197" s="363">
        <v>0</v>
      </c>
      <c r="J197" s="363">
        <v>0</v>
      </c>
      <c r="K197" s="363">
        <v>0</v>
      </c>
      <c r="L197" s="398">
        <v>0</v>
      </c>
      <c r="M197" s="314">
        <f t="shared" si="109"/>
        <v>0</v>
      </c>
      <c r="N197" s="316">
        <f t="shared" si="110"/>
        <v>0</v>
      </c>
      <c r="O197" s="362">
        <v>0</v>
      </c>
      <c r="P197" s="363">
        <v>0</v>
      </c>
      <c r="Q197" s="363">
        <v>0</v>
      </c>
      <c r="R197" s="363">
        <v>0</v>
      </c>
      <c r="S197" s="363">
        <v>0</v>
      </c>
      <c r="T197" s="363">
        <v>0</v>
      </c>
      <c r="U197" s="363">
        <v>0</v>
      </c>
      <c r="V197" s="363">
        <v>0</v>
      </c>
      <c r="W197" s="363">
        <v>0</v>
      </c>
      <c r="X197" s="363">
        <v>0</v>
      </c>
      <c r="Y197" s="398">
        <v>0</v>
      </c>
      <c r="Z197" s="314">
        <f t="shared" si="111"/>
        <v>0</v>
      </c>
      <c r="AA197" s="316">
        <f t="shared" si="112"/>
        <v>0</v>
      </c>
      <c r="AB197" s="1054">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1055">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334">
        <f t="shared" si="113"/>
        <v>0</v>
      </c>
      <c r="AE197" s="1043">
        <f t="shared" si="116"/>
        <v>0</v>
      </c>
      <c r="AF197" s="1043">
        <f t="shared" si="117"/>
        <v>0</v>
      </c>
      <c r="AG197" s="1043">
        <f t="shared" si="118"/>
        <v>0</v>
      </c>
      <c r="AH197" s="1280">
        <f t="shared" si="114"/>
        <v>0</v>
      </c>
      <c r="AI197" s="1043">
        <f t="shared" si="115"/>
        <v>0</v>
      </c>
    </row>
    <row r="198" spans="1:35" ht="13.5" thickBot="1" x14ac:dyDescent="0.25">
      <c r="A198" s="346">
        <v>2025</v>
      </c>
      <c r="B198" s="364">
        <v>0</v>
      </c>
      <c r="C198" s="365">
        <v>0</v>
      </c>
      <c r="D198" s="365">
        <v>0</v>
      </c>
      <c r="E198" s="365">
        <v>0</v>
      </c>
      <c r="F198" s="365">
        <v>0</v>
      </c>
      <c r="G198" s="365">
        <v>0</v>
      </c>
      <c r="H198" s="365">
        <v>0</v>
      </c>
      <c r="I198" s="365">
        <v>0</v>
      </c>
      <c r="J198" s="365">
        <v>0</v>
      </c>
      <c r="K198" s="365">
        <v>0</v>
      </c>
      <c r="L198" s="399">
        <v>0</v>
      </c>
      <c r="M198" s="328">
        <f t="shared" si="109"/>
        <v>0</v>
      </c>
      <c r="N198" s="330">
        <f t="shared" si="110"/>
        <v>0</v>
      </c>
      <c r="O198" s="364">
        <v>0</v>
      </c>
      <c r="P198" s="365">
        <v>0</v>
      </c>
      <c r="Q198" s="365">
        <v>0</v>
      </c>
      <c r="R198" s="365">
        <v>0</v>
      </c>
      <c r="S198" s="365">
        <v>0</v>
      </c>
      <c r="T198" s="365">
        <v>0</v>
      </c>
      <c r="U198" s="365">
        <v>0</v>
      </c>
      <c r="V198" s="365">
        <v>0</v>
      </c>
      <c r="W198" s="365">
        <v>0</v>
      </c>
      <c r="X198" s="365">
        <v>0</v>
      </c>
      <c r="Y198" s="399">
        <v>0</v>
      </c>
      <c r="Z198" s="328">
        <f t="shared" si="111"/>
        <v>0</v>
      </c>
      <c r="AA198" s="330">
        <f t="shared" si="112"/>
        <v>0</v>
      </c>
      <c r="AB198" s="1054">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1055">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334">
        <f t="shared" si="113"/>
        <v>0</v>
      </c>
      <c r="AE198" s="1043">
        <f t="shared" si="116"/>
        <v>0</v>
      </c>
      <c r="AF198" s="1043">
        <f t="shared" si="117"/>
        <v>0</v>
      </c>
      <c r="AG198" s="1043">
        <f t="shared" si="118"/>
        <v>0</v>
      </c>
      <c r="AH198" s="1280">
        <f t="shared" si="114"/>
        <v>0</v>
      </c>
      <c r="AI198" s="1043">
        <f t="shared" si="115"/>
        <v>0</v>
      </c>
    </row>
    <row r="199" spans="1:35" x14ac:dyDescent="0.2">
      <c r="A199" s="347">
        <v>2026</v>
      </c>
      <c r="B199" s="360">
        <v>0</v>
      </c>
      <c r="C199" s="361">
        <v>0</v>
      </c>
      <c r="D199" s="361">
        <v>0</v>
      </c>
      <c r="E199" s="361">
        <v>0</v>
      </c>
      <c r="F199" s="361">
        <v>0</v>
      </c>
      <c r="G199" s="361">
        <v>0</v>
      </c>
      <c r="H199" s="361">
        <v>0</v>
      </c>
      <c r="I199" s="361">
        <v>0</v>
      </c>
      <c r="J199" s="361">
        <v>0</v>
      </c>
      <c r="K199" s="361">
        <v>0</v>
      </c>
      <c r="L199" s="397">
        <v>0</v>
      </c>
      <c r="M199" s="300">
        <f t="shared" si="109"/>
        <v>0</v>
      </c>
      <c r="N199" s="302">
        <f t="shared" si="110"/>
        <v>0</v>
      </c>
      <c r="O199" s="360">
        <v>0</v>
      </c>
      <c r="P199" s="361">
        <v>0</v>
      </c>
      <c r="Q199" s="361">
        <v>0</v>
      </c>
      <c r="R199" s="361">
        <v>0</v>
      </c>
      <c r="S199" s="361">
        <v>0</v>
      </c>
      <c r="T199" s="361">
        <v>0</v>
      </c>
      <c r="U199" s="361">
        <v>0</v>
      </c>
      <c r="V199" s="361">
        <v>0</v>
      </c>
      <c r="W199" s="361">
        <v>0</v>
      </c>
      <c r="X199" s="361">
        <v>0</v>
      </c>
      <c r="Y199" s="397">
        <v>0</v>
      </c>
      <c r="Z199" s="300">
        <f t="shared" si="111"/>
        <v>0</v>
      </c>
      <c r="AA199" s="302">
        <f t="shared" si="112"/>
        <v>0</v>
      </c>
      <c r="AB199" s="1054">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1055">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334">
        <f t="shared" si="113"/>
        <v>0</v>
      </c>
      <c r="AE199" s="1043">
        <f t="shared" si="116"/>
        <v>0</v>
      </c>
      <c r="AF199" s="1043">
        <f t="shared" si="117"/>
        <v>0</v>
      </c>
      <c r="AG199" s="1043">
        <f t="shared" si="118"/>
        <v>0</v>
      </c>
      <c r="AH199" s="1280">
        <f t="shared" si="114"/>
        <v>0</v>
      </c>
      <c r="AI199" s="1043">
        <f t="shared" si="115"/>
        <v>0</v>
      </c>
    </row>
    <row r="200" spans="1:35" x14ac:dyDescent="0.2">
      <c r="A200" s="348">
        <v>2027</v>
      </c>
      <c r="B200" s="362">
        <v>0</v>
      </c>
      <c r="C200" s="363">
        <v>0</v>
      </c>
      <c r="D200" s="363">
        <v>0</v>
      </c>
      <c r="E200" s="363">
        <v>0</v>
      </c>
      <c r="F200" s="363">
        <v>0</v>
      </c>
      <c r="G200" s="363">
        <v>0</v>
      </c>
      <c r="H200" s="363">
        <v>0</v>
      </c>
      <c r="I200" s="363">
        <v>0</v>
      </c>
      <c r="J200" s="363">
        <v>0</v>
      </c>
      <c r="K200" s="363">
        <v>0</v>
      </c>
      <c r="L200" s="398">
        <v>0</v>
      </c>
      <c r="M200" s="314">
        <f t="shared" si="109"/>
        <v>0</v>
      </c>
      <c r="N200" s="316">
        <f t="shared" si="110"/>
        <v>0</v>
      </c>
      <c r="O200" s="362">
        <v>0</v>
      </c>
      <c r="P200" s="363">
        <v>0</v>
      </c>
      <c r="Q200" s="363">
        <v>0</v>
      </c>
      <c r="R200" s="363">
        <v>0</v>
      </c>
      <c r="S200" s="363">
        <v>0</v>
      </c>
      <c r="T200" s="363">
        <v>0</v>
      </c>
      <c r="U200" s="363">
        <v>0</v>
      </c>
      <c r="V200" s="363">
        <v>0</v>
      </c>
      <c r="W200" s="363">
        <v>0</v>
      </c>
      <c r="X200" s="363">
        <v>0</v>
      </c>
      <c r="Y200" s="398">
        <v>0</v>
      </c>
      <c r="Z200" s="314">
        <f t="shared" si="111"/>
        <v>0</v>
      </c>
      <c r="AA200" s="316">
        <f t="shared" si="112"/>
        <v>0</v>
      </c>
      <c r="AB200" s="1054">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1055">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334">
        <f t="shared" si="113"/>
        <v>0</v>
      </c>
      <c r="AE200" s="1043">
        <f t="shared" si="116"/>
        <v>0</v>
      </c>
      <c r="AF200" s="1043">
        <f t="shared" si="117"/>
        <v>0</v>
      </c>
      <c r="AG200" s="1043">
        <f t="shared" si="118"/>
        <v>0</v>
      </c>
      <c r="AH200" s="1280">
        <f t="shared" ref="AH200:AH222" si="119">IF(AG200&gt;0,AE200/AG200,0)</f>
        <v>0</v>
      </c>
      <c r="AI200" s="1043">
        <f t="shared" ref="AI200:AI222" si="120">IF(AG200&gt;0,AF200/AG200,0)</f>
        <v>0</v>
      </c>
    </row>
    <row r="201" spans="1:35" x14ac:dyDescent="0.2">
      <c r="A201" s="348">
        <v>2028</v>
      </c>
      <c r="B201" s="362">
        <v>0</v>
      </c>
      <c r="C201" s="363">
        <v>0</v>
      </c>
      <c r="D201" s="363">
        <v>0</v>
      </c>
      <c r="E201" s="363">
        <v>0</v>
      </c>
      <c r="F201" s="363">
        <v>0</v>
      </c>
      <c r="G201" s="363">
        <v>0</v>
      </c>
      <c r="H201" s="363">
        <v>0</v>
      </c>
      <c r="I201" s="363">
        <v>0</v>
      </c>
      <c r="J201" s="363">
        <v>0</v>
      </c>
      <c r="K201" s="363">
        <v>0</v>
      </c>
      <c r="L201" s="398">
        <v>0</v>
      </c>
      <c r="M201" s="314">
        <f t="shared" si="109"/>
        <v>0</v>
      </c>
      <c r="N201" s="316">
        <f t="shared" si="110"/>
        <v>0</v>
      </c>
      <c r="O201" s="362">
        <v>0</v>
      </c>
      <c r="P201" s="363">
        <v>0</v>
      </c>
      <c r="Q201" s="363">
        <v>0</v>
      </c>
      <c r="R201" s="363">
        <v>0</v>
      </c>
      <c r="S201" s="363">
        <v>0</v>
      </c>
      <c r="T201" s="363">
        <v>0</v>
      </c>
      <c r="U201" s="363">
        <v>0</v>
      </c>
      <c r="V201" s="363">
        <v>0</v>
      </c>
      <c r="W201" s="363">
        <v>0</v>
      </c>
      <c r="X201" s="363">
        <v>0</v>
      </c>
      <c r="Y201" s="398">
        <v>0</v>
      </c>
      <c r="Z201" s="314">
        <f t="shared" si="111"/>
        <v>0</v>
      </c>
      <c r="AA201" s="316">
        <f t="shared" si="112"/>
        <v>0</v>
      </c>
      <c r="AB201" s="1054">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1055">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334">
        <f t="shared" si="113"/>
        <v>0</v>
      </c>
      <c r="AE201" s="1043">
        <f t="shared" si="116"/>
        <v>0</v>
      </c>
      <c r="AF201" s="1043">
        <f t="shared" si="117"/>
        <v>0</v>
      </c>
      <c r="AG201" s="1043">
        <f t="shared" si="118"/>
        <v>0</v>
      </c>
      <c r="AH201" s="1280">
        <f t="shared" si="119"/>
        <v>0</v>
      </c>
      <c r="AI201" s="1043">
        <f t="shared" si="120"/>
        <v>0</v>
      </c>
    </row>
    <row r="202" spans="1:35" x14ac:dyDescent="0.2">
      <c r="A202" s="348">
        <v>2029</v>
      </c>
      <c r="B202" s="362">
        <v>0</v>
      </c>
      <c r="C202" s="363">
        <v>0</v>
      </c>
      <c r="D202" s="363">
        <v>0</v>
      </c>
      <c r="E202" s="363">
        <v>0</v>
      </c>
      <c r="F202" s="363">
        <v>0</v>
      </c>
      <c r="G202" s="363">
        <v>0</v>
      </c>
      <c r="H202" s="363">
        <v>0</v>
      </c>
      <c r="I202" s="363">
        <v>0</v>
      </c>
      <c r="J202" s="363">
        <v>0</v>
      </c>
      <c r="K202" s="363">
        <v>0</v>
      </c>
      <c r="L202" s="398">
        <v>0</v>
      </c>
      <c r="M202" s="314">
        <f t="shared" si="109"/>
        <v>0</v>
      </c>
      <c r="N202" s="316">
        <f t="shared" si="110"/>
        <v>0</v>
      </c>
      <c r="O202" s="362">
        <v>0</v>
      </c>
      <c r="P202" s="363">
        <v>0</v>
      </c>
      <c r="Q202" s="363">
        <v>0</v>
      </c>
      <c r="R202" s="363">
        <v>0</v>
      </c>
      <c r="S202" s="363">
        <v>0</v>
      </c>
      <c r="T202" s="363">
        <v>0</v>
      </c>
      <c r="U202" s="363">
        <v>0</v>
      </c>
      <c r="V202" s="363">
        <v>0</v>
      </c>
      <c r="W202" s="363">
        <v>0</v>
      </c>
      <c r="X202" s="363">
        <v>0</v>
      </c>
      <c r="Y202" s="398">
        <v>0</v>
      </c>
      <c r="Z202" s="314">
        <f t="shared" si="111"/>
        <v>0</v>
      </c>
      <c r="AA202" s="316">
        <f t="shared" si="112"/>
        <v>0</v>
      </c>
      <c r="AB202" s="1054">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1055">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334">
        <f t="shared" si="113"/>
        <v>0</v>
      </c>
      <c r="AE202" s="1043">
        <f t="shared" si="116"/>
        <v>0</v>
      </c>
      <c r="AF202" s="1043">
        <f t="shared" si="117"/>
        <v>0</v>
      </c>
      <c r="AG202" s="1043">
        <f t="shared" si="118"/>
        <v>0</v>
      </c>
      <c r="AH202" s="1280">
        <f t="shared" si="119"/>
        <v>0</v>
      </c>
      <c r="AI202" s="1043">
        <f t="shared" si="120"/>
        <v>0</v>
      </c>
    </row>
    <row r="203" spans="1:35" ht="13.5" thickBot="1" x14ac:dyDescent="0.25">
      <c r="A203" s="346">
        <v>2030</v>
      </c>
      <c r="B203" s="364">
        <v>0</v>
      </c>
      <c r="C203" s="365">
        <v>0</v>
      </c>
      <c r="D203" s="365">
        <v>0</v>
      </c>
      <c r="E203" s="365">
        <v>0</v>
      </c>
      <c r="F203" s="365">
        <v>0</v>
      </c>
      <c r="G203" s="365">
        <v>0</v>
      </c>
      <c r="H203" s="365">
        <v>0</v>
      </c>
      <c r="I203" s="365">
        <v>0</v>
      </c>
      <c r="J203" s="365">
        <v>0</v>
      </c>
      <c r="K203" s="365">
        <v>0</v>
      </c>
      <c r="L203" s="399">
        <v>0</v>
      </c>
      <c r="M203" s="328">
        <f t="shared" si="109"/>
        <v>0</v>
      </c>
      <c r="N203" s="330">
        <f t="shared" si="110"/>
        <v>0</v>
      </c>
      <c r="O203" s="364">
        <v>0</v>
      </c>
      <c r="P203" s="365">
        <v>0</v>
      </c>
      <c r="Q203" s="365">
        <v>0</v>
      </c>
      <c r="R203" s="365">
        <v>0</v>
      </c>
      <c r="S203" s="365">
        <v>0</v>
      </c>
      <c r="T203" s="365">
        <v>0</v>
      </c>
      <c r="U203" s="365">
        <v>0</v>
      </c>
      <c r="V203" s="365">
        <v>0</v>
      </c>
      <c r="W203" s="365">
        <v>0</v>
      </c>
      <c r="X203" s="365">
        <v>0</v>
      </c>
      <c r="Y203" s="399">
        <v>0</v>
      </c>
      <c r="Z203" s="328">
        <f t="shared" si="111"/>
        <v>0</v>
      </c>
      <c r="AA203" s="330">
        <f t="shared" si="112"/>
        <v>0</v>
      </c>
      <c r="AB203" s="1054">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1055">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334">
        <f t="shared" si="113"/>
        <v>0</v>
      </c>
      <c r="AE203" s="1043">
        <f t="shared" si="116"/>
        <v>0</v>
      </c>
      <c r="AF203" s="1043">
        <f t="shared" si="117"/>
        <v>0</v>
      </c>
      <c r="AG203" s="1043">
        <f t="shared" si="118"/>
        <v>0</v>
      </c>
      <c r="AH203" s="1280">
        <f t="shared" si="119"/>
        <v>0</v>
      </c>
      <c r="AI203" s="1043">
        <f t="shared" si="120"/>
        <v>0</v>
      </c>
    </row>
    <row r="204" spans="1:35" x14ac:dyDescent="0.2">
      <c r="A204" s="347">
        <v>2031</v>
      </c>
      <c r="B204" s="360">
        <v>0</v>
      </c>
      <c r="C204" s="361">
        <v>0</v>
      </c>
      <c r="D204" s="361">
        <v>0</v>
      </c>
      <c r="E204" s="361">
        <v>0</v>
      </c>
      <c r="F204" s="361">
        <v>0</v>
      </c>
      <c r="G204" s="361">
        <v>0</v>
      </c>
      <c r="H204" s="361">
        <v>0</v>
      </c>
      <c r="I204" s="361">
        <v>0</v>
      </c>
      <c r="J204" s="361">
        <v>0</v>
      </c>
      <c r="K204" s="361">
        <v>0</v>
      </c>
      <c r="L204" s="397">
        <v>2.788142417488669E-3</v>
      </c>
      <c r="M204" s="300">
        <f t="shared" si="109"/>
        <v>9.091625877566784E-5</v>
      </c>
      <c r="N204" s="302">
        <f t="shared" si="110"/>
        <v>3.1248796867517111E-5</v>
      </c>
      <c r="O204" s="360">
        <v>0</v>
      </c>
      <c r="P204" s="361">
        <v>0</v>
      </c>
      <c r="Q204" s="361">
        <v>0</v>
      </c>
      <c r="R204" s="361">
        <v>0</v>
      </c>
      <c r="S204" s="361">
        <v>0</v>
      </c>
      <c r="T204" s="361">
        <v>0</v>
      </c>
      <c r="U204" s="361">
        <v>0</v>
      </c>
      <c r="V204" s="361">
        <v>0</v>
      </c>
      <c r="W204" s="361">
        <v>1.253966365025359E-4</v>
      </c>
      <c r="X204" s="361">
        <v>1.2596865520155386E-3</v>
      </c>
      <c r="Y204" s="397">
        <v>1.1599476989570768E-2</v>
      </c>
      <c r="Z204" s="300">
        <f t="shared" si="111"/>
        <v>1.8415839451646626E-4</v>
      </c>
      <c r="AA204" s="302">
        <f t="shared" si="112"/>
        <v>6.4759550751326904E-5</v>
      </c>
      <c r="AB204" s="1054">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1055">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0.15730108466592144</v>
      </c>
      <c r="AD204" s="1334">
        <f t="shared" si="113"/>
        <v>0.15612693396906846</v>
      </c>
      <c r="AE204" s="1043">
        <f t="shared" si="116"/>
        <v>9.091625877566784E-5</v>
      </c>
      <c r="AF204" s="1043">
        <f t="shared" si="117"/>
        <v>1.8415839451646626E-4</v>
      </c>
      <c r="AG204" s="1043">
        <f t="shared" si="118"/>
        <v>2.7507465329213408E-4</v>
      </c>
      <c r="AH204" s="1280">
        <f t="shared" si="119"/>
        <v>0.3305148536499769</v>
      </c>
      <c r="AI204" s="1043">
        <f t="shared" si="120"/>
        <v>0.6694851463500231</v>
      </c>
    </row>
    <row r="205" spans="1:35" x14ac:dyDescent="0.2">
      <c r="A205" s="348">
        <v>2032</v>
      </c>
      <c r="B205" s="362">
        <v>0</v>
      </c>
      <c r="C205" s="363">
        <v>0</v>
      </c>
      <c r="D205" s="363">
        <v>0</v>
      </c>
      <c r="E205" s="363">
        <v>0</v>
      </c>
      <c r="F205" s="363">
        <v>0</v>
      </c>
      <c r="G205" s="363">
        <v>0</v>
      </c>
      <c r="H205" s="363">
        <v>0</v>
      </c>
      <c r="I205" s="363">
        <v>0</v>
      </c>
      <c r="J205" s="363">
        <v>1.2873328574609236E-3</v>
      </c>
      <c r="K205" s="363">
        <v>7.9127714957712512E-3</v>
      </c>
      <c r="L205" s="398">
        <v>4.7907275719447036E-2</v>
      </c>
      <c r="M205" s="314">
        <f t="shared" si="109"/>
        <v>1.7297806164485131E-3</v>
      </c>
      <c r="N205" s="316">
        <f t="shared" si="110"/>
        <v>6.078268069445007E-4</v>
      </c>
      <c r="O205" s="362">
        <v>0</v>
      </c>
      <c r="P205" s="363">
        <v>0</v>
      </c>
      <c r="Q205" s="363">
        <v>0</v>
      </c>
      <c r="R205" s="363">
        <v>0</v>
      </c>
      <c r="S205" s="363">
        <v>0</v>
      </c>
      <c r="T205" s="363">
        <v>0</v>
      </c>
      <c r="U205" s="363">
        <v>0</v>
      </c>
      <c r="V205" s="363">
        <v>6.5660918247706466E-4</v>
      </c>
      <c r="W205" s="363">
        <v>1.3496066499076786E-2</v>
      </c>
      <c r="X205" s="363">
        <v>3.1321338513417549E-2</v>
      </c>
      <c r="Y205" s="398">
        <v>7.6678260377563687E-2</v>
      </c>
      <c r="Z205" s="314">
        <f t="shared" si="111"/>
        <v>1.5247682198700266E-3</v>
      </c>
      <c r="AA205" s="316">
        <f t="shared" si="112"/>
        <v>5.6087737432909093E-4</v>
      </c>
      <c r="AB205" s="1054">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1055">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334">
        <f t="shared" si="113"/>
        <v>0.16089540362619761</v>
      </c>
      <c r="AE205" s="1043">
        <f t="shared" si="116"/>
        <v>1.7297806164485131E-3</v>
      </c>
      <c r="AF205" s="1043">
        <f t="shared" si="117"/>
        <v>1.5247682198700266E-3</v>
      </c>
      <c r="AG205" s="1043">
        <f t="shared" si="118"/>
        <v>3.2545488363185399E-3</v>
      </c>
      <c r="AH205" s="1280">
        <f t="shared" si="119"/>
        <v>0.53149628518255554</v>
      </c>
      <c r="AI205" s="1043">
        <f t="shared" si="120"/>
        <v>0.46850371481744435</v>
      </c>
    </row>
    <row r="206" spans="1:35" x14ac:dyDescent="0.2">
      <c r="A206" s="348">
        <v>2033</v>
      </c>
      <c r="B206" s="362">
        <v>0</v>
      </c>
      <c r="C206" s="363">
        <v>0</v>
      </c>
      <c r="D206" s="363">
        <v>0</v>
      </c>
      <c r="E206" s="363">
        <v>0</v>
      </c>
      <c r="F206" s="363">
        <v>0</v>
      </c>
      <c r="G206" s="363">
        <v>0</v>
      </c>
      <c r="H206" s="363">
        <v>3.3052154156741436E-4</v>
      </c>
      <c r="I206" s="363">
        <v>7.0190217739640876E-3</v>
      </c>
      <c r="J206" s="363">
        <v>3.1918433218369915E-2</v>
      </c>
      <c r="K206" s="363">
        <v>6.5242959738942341E-2</v>
      </c>
      <c r="L206" s="398">
        <v>0.13388190222643498</v>
      </c>
      <c r="M206" s="314">
        <f t="shared" si="109"/>
        <v>6.9240018244624921E-3</v>
      </c>
      <c r="N206" s="316">
        <f t="shared" si="110"/>
        <v>2.6516465613299423E-3</v>
      </c>
      <c r="O206" s="362">
        <v>0</v>
      </c>
      <c r="P206" s="363">
        <v>0</v>
      </c>
      <c r="Q206" s="363">
        <v>0</v>
      </c>
      <c r="R206" s="363">
        <v>0</v>
      </c>
      <c r="S206" s="363">
        <v>0</v>
      </c>
      <c r="T206" s="363">
        <v>2.7564242208239284E-4</v>
      </c>
      <c r="U206" s="363">
        <v>4.5605859597955059E-3</v>
      </c>
      <c r="V206" s="363">
        <v>2.0026264710404321E-2</v>
      </c>
      <c r="W206" s="363">
        <v>7.8058347828028715E-2</v>
      </c>
      <c r="X206" s="363">
        <v>0.10809103507180338</v>
      </c>
      <c r="Y206" s="398">
        <v>0.16163799861880424</v>
      </c>
      <c r="Z206" s="314">
        <f t="shared" si="111"/>
        <v>4.6747688237340308E-3</v>
      </c>
      <c r="AA206" s="316">
        <f t="shared" si="112"/>
        <v>1.8869506987464796E-3</v>
      </c>
      <c r="AB206" s="1054">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1055">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0.18115048826286173</v>
      </c>
      <c r="AD206" s="1334">
        <f>AB206*AH206+AC206*AI206</f>
        <v>0.17560981300402026</v>
      </c>
      <c r="AE206" s="1043">
        <f t="shared" si="116"/>
        <v>6.9240018244624921E-3</v>
      </c>
      <c r="AF206" s="1043">
        <f t="shared" si="117"/>
        <v>4.6747688237340308E-3</v>
      </c>
      <c r="AG206" s="1043">
        <f t="shared" si="118"/>
        <v>1.1598770648196522E-2</v>
      </c>
      <c r="AH206" s="1280">
        <f t="shared" si="119"/>
        <v>0.59695997398992418</v>
      </c>
      <c r="AI206" s="1043">
        <f t="shared" si="120"/>
        <v>0.40304002601007588</v>
      </c>
    </row>
    <row r="207" spans="1:35" x14ac:dyDescent="0.2">
      <c r="A207" s="348">
        <v>2034</v>
      </c>
      <c r="B207" s="362">
        <v>0</v>
      </c>
      <c r="C207" s="363">
        <v>0</v>
      </c>
      <c r="D207" s="363">
        <v>0</v>
      </c>
      <c r="E207" s="363">
        <v>0</v>
      </c>
      <c r="F207" s="363">
        <v>0</v>
      </c>
      <c r="G207" s="363">
        <v>4.8078211007006354E-4</v>
      </c>
      <c r="H207" s="363">
        <v>1.3997833341704622E-2</v>
      </c>
      <c r="I207" s="363">
        <v>5.4789878410042576E-2</v>
      </c>
      <c r="J207" s="363">
        <v>0.10164728580786664</v>
      </c>
      <c r="K207" s="363">
        <v>0.14514504295309968</v>
      </c>
      <c r="L207" s="398">
        <v>0.21225399782963633</v>
      </c>
      <c r="M207" s="314">
        <f t="shared" si="109"/>
        <v>1.7352523522494299E-2</v>
      </c>
      <c r="N207" s="316">
        <f t="shared" si="110"/>
        <v>7.4222344985421986E-3</v>
      </c>
      <c r="O207" s="362">
        <v>0</v>
      </c>
      <c r="P207" s="363">
        <v>0</v>
      </c>
      <c r="Q207" s="363">
        <v>0</v>
      </c>
      <c r="R207" s="363">
        <v>0</v>
      </c>
      <c r="S207" s="363">
        <v>9.0508178088721756E-5</v>
      </c>
      <c r="T207" s="363">
        <v>1.2290286481871079E-2</v>
      </c>
      <c r="U207" s="363">
        <v>4.0323047595509046E-2</v>
      </c>
      <c r="V207" s="363">
        <v>8.635577730488786E-2</v>
      </c>
      <c r="W207" s="363">
        <v>0.15444725437134105</v>
      </c>
      <c r="X207" s="363">
        <v>0.18335505696751267</v>
      </c>
      <c r="Y207" s="398">
        <v>0.23091500304785434</v>
      </c>
      <c r="Z207" s="314">
        <f t="shared" si="111"/>
        <v>1.0668156325590204E-2</v>
      </c>
      <c r="AA207" s="316">
        <f t="shared" si="112"/>
        <v>4.9589244915616499E-3</v>
      </c>
      <c r="AB207" s="1054">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0.19227341059616151</v>
      </c>
      <c r="AC207" s="1055">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334">
        <f t="shared" ref="AD207:AD223" si="121">AB207*AH207+AC207*AI207</f>
        <v>0.19862313523539418</v>
      </c>
      <c r="AE207" s="1043">
        <f t="shared" si="116"/>
        <v>1.7352523522494299E-2</v>
      </c>
      <c r="AF207" s="1043">
        <f t="shared" si="117"/>
        <v>1.0668156325590204E-2</v>
      </c>
      <c r="AG207" s="1043">
        <f t="shared" si="118"/>
        <v>2.8020679848084505E-2</v>
      </c>
      <c r="AH207" s="1280">
        <f t="shared" si="119"/>
        <v>0.61927560703636952</v>
      </c>
      <c r="AI207" s="1043">
        <f t="shared" si="120"/>
        <v>0.38072439296363036</v>
      </c>
    </row>
    <row r="208" spans="1:35" ht="13.5" thickBot="1" x14ac:dyDescent="0.25">
      <c r="A208" s="346">
        <v>2035</v>
      </c>
      <c r="B208" s="364">
        <v>0</v>
      </c>
      <c r="C208" s="365">
        <v>0</v>
      </c>
      <c r="D208" s="365">
        <v>0</v>
      </c>
      <c r="E208" s="365">
        <v>0</v>
      </c>
      <c r="F208" s="365">
        <v>5.8215659387614619E-4</v>
      </c>
      <c r="G208" s="365">
        <v>2.0674519493682111E-2</v>
      </c>
      <c r="H208" s="365">
        <v>8.0373830059913401E-2</v>
      </c>
      <c r="I208" s="365">
        <v>0.13760348553989224</v>
      </c>
      <c r="J208" s="365">
        <v>0.1856289578472817</v>
      </c>
      <c r="K208" s="365">
        <v>0.22442671653748655</v>
      </c>
      <c r="L208" s="399">
        <v>0.2600645476135518</v>
      </c>
      <c r="M208" s="328">
        <f t="shared" si="109"/>
        <v>3.5579774481243005E-2</v>
      </c>
      <c r="N208" s="330">
        <f t="shared" si="110"/>
        <v>1.7015453038038829E-2</v>
      </c>
      <c r="O208" s="364">
        <v>0</v>
      </c>
      <c r="P208" s="365">
        <v>0</v>
      </c>
      <c r="Q208" s="365">
        <v>0</v>
      </c>
      <c r="R208" s="365">
        <v>0</v>
      </c>
      <c r="S208" s="365">
        <v>9.5573863370898987E-3</v>
      </c>
      <c r="T208" s="365">
        <v>6.7136500751090705E-2</v>
      </c>
      <c r="U208" s="365">
        <v>0.11956685433561372</v>
      </c>
      <c r="V208" s="365">
        <v>0.16591962152005751</v>
      </c>
      <c r="W208" s="365">
        <v>0.22442671653748655</v>
      </c>
      <c r="X208" s="365">
        <v>0.24282130549261444</v>
      </c>
      <c r="Y208" s="399">
        <v>0.27578294553753419</v>
      </c>
      <c r="Z208" s="328">
        <f t="shared" si="111"/>
        <v>2.1593744178240004E-2</v>
      </c>
      <c r="AA208" s="330">
        <f t="shared" si="112"/>
        <v>1.150866572030238E-2</v>
      </c>
      <c r="AB208" s="1054">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0.215325011556396</v>
      </c>
      <c r="AC208" s="1055">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0.23996680947760674</v>
      </c>
      <c r="AD208" s="1334">
        <f t="shared" si="121"/>
        <v>0.22463191959491768</v>
      </c>
      <c r="AE208" s="1043">
        <f t="shared" si="116"/>
        <v>3.5579774481243005E-2</v>
      </c>
      <c r="AF208" s="1043">
        <f t="shared" si="117"/>
        <v>2.1593744178240004E-2</v>
      </c>
      <c r="AG208" s="1043">
        <f t="shared" si="118"/>
        <v>5.7173518659483009E-2</v>
      </c>
      <c r="AH208" s="1280">
        <f t="shared" si="119"/>
        <v>0.62231213532878504</v>
      </c>
      <c r="AI208" s="1043">
        <f t="shared" si="120"/>
        <v>0.37768786467121501</v>
      </c>
    </row>
    <row r="209" spans="1:35" x14ac:dyDescent="0.2">
      <c r="A209" s="347">
        <v>2036</v>
      </c>
      <c r="B209" s="360">
        <v>0</v>
      </c>
      <c r="C209" s="361">
        <v>0</v>
      </c>
      <c r="D209" s="361">
        <v>0</v>
      </c>
      <c r="E209" s="361">
        <v>0</v>
      </c>
      <c r="F209" s="361">
        <v>3.5009449144206492E-3</v>
      </c>
      <c r="G209" s="361">
        <v>3.6757625451248457E-2</v>
      </c>
      <c r="H209" s="361">
        <v>0.11115831605034382</v>
      </c>
      <c r="I209" s="361">
        <v>0.16604042012637599</v>
      </c>
      <c r="J209" s="361">
        <v>0.20527238978533574</v>
      </c>
      <c r="K209" s="361">
        <v>0.2339007261593509</v>
      </c>
      <c r="L209" s="397">
        <v>0.2683088446174271</v>
      </c>
      <c r="M209" s="300">
        <f t="shared" si="109"/>
        <v>4.2660276833565457E-2</v>
      </c>
      <c r="N209" s="302">
        <f t="shared" si="110"/>
        <v>2.1122200639539249E-2</v>
      </c>
      <c r="O209" s="360">
        <v>0</v>
      </c>
      <c r="P209" s="361">
        <v>0</v>
      </c>
      <c r="Q209" s="361">
        <v>0</v>
      </c>
      <c r="R209" s="361">
        <v>4.8887202172032238E-4</v>
      </c>
      <c r="S209" s="361">
        <v>2.0681525231226208E-2</v>
      </c>
      <c r="T209" s="361">
        <v>9.4951622807371419E-2</v>
      </c>
      <c r="U209" s="361">
        <v>0.14671371375581763</v>
      </c>
      <c r="V209" s="361">
        <v>0.1952224816490544</v>
      </c>
      <c r="W209" s="361">
        <v>0.24297940087476758</v>
      </c>
      <c r="X209" s="361">
        <v>0.26022924469707093</v>
      </c>
      <c r="Y209" s="397">
        <v>0.28313080958386744</v>
      </c>
      <c r="Z209" s="300">
        <f t="shared" si="111"/>
        <v>2.6372574350321688E-2</v>
      </c>
      <c r="AA209" s="302">
        <f t="shared" si="112"/>
        <v>1.4657055228188205E-2</v>
      </c>
      <c r="AB209" s="1054">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0.22307611752353679</v>
      </c>
      <c r="AC209" s="1055">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0.25039853401679968</v>
      </c>
      <c r="AD209" s="1334">
        <f t="shared" si="121"/>
        <v>0.23351408217430317</v>
      </c>
      <c r="AE209" s="1043">
        <f t="shared" si="116"/>
        <v>4.2660276833565457E-2</v>
      </c>
      <c r="AF209" s="1043">
        <f t="shared" si="117"/>
        <v>2.6372574350321688E-2</v>
      </c>
      <c r="AG209" s="1043">
        <f t="shared" si="118"/>
        <v>6.9032851183887148E-2</v>
      </c>
      <c r="AH209" s="1280">
        <f t="shared" si="119"/>
        <v>0.61797066327057237</v>
      </c>
      <c r="AI209" s="1043">
        <f t="shared" si="120"/>
        <v>0.38202933672942757</v>
      </c>
    </row>
    <row r="210" spans="1:35" x14ac:dyDescent="0.2">
      <c r="A210" s="348">
        <v>2037</v>
      </c>
      <c r="B210" s="362">
        <v>0</v>
      </c>
      <c r="C210" s="363">
        <v>0</v>
      </c>
      <c r="D210" s="363">
        <v>0</v>
      </c>
      <c r="E210" s="363">
        <v>0</v>
      </c>
      <c r="F210" s="363">
        <v>6.3065775024307245E-3</v>
      </c>
      <c r="G210" s="363">
        <v>5.0308837784696733E-2</v>
      </c>
      <c r="H210" s="363">
        <v>0.11940915354604353</v>
      </c>
      <c r="I210" s="363">
        <v>0.17393524494014154</v>
      </c>
      <c r="J210" s="363">
        <v>0.21847876680855452</v>
      </c>
      <c r="K210" s="363">
        <v>0.23225752261878851</v>
      </c>
      <c r="L210" s="398">
        <v>0.25210216210168768</v>
      </c>
      <c r="M210" s="314">
        <f t="shared" si="109"/>
        <v>4.5045020999251971E-2</v>
      </c>
      <c r="N210" s="316">
        <f t="shared" si="110"/>
        <v>2.2778465672921699E-2</v>
      </c>
      <c r="O210" s="362">
        <v>0</v>
      </c>
      <c r="P210" s="363">
        <v>0</v>
      </c>
      <c r="Q210" s="363">
        <v>0</v>
      </c>
      <c r="R210" s="363">
        <v>1.1525939654176485E-3</v>
      </c>
      <c r="S210" s="363">
        <v>2.9438656754117849E-2</v>
      </c>
      <c r="T210" s="363">
        <v>0.11103223823573409</v>
      </c>
      <c r="U210" s="363">
        <v>0.1562408594324815</v>
      </c>
      <c r="V210" s="363">
        <v>0.20505286533947334</v>
      </c>
      <c r="W210" s="363">
        <v>0.2519199605256483</v>
      </c>
      <c r="X210" s="363">
        <v>0.2684576640179373</v>
      </c>
      <c r="Y210" s="398">
        <v>0.28328738709446055</v>
      </c>
      <c r="Z210" s="314">
        <f t="shared" si="111"/>
        <v>2.8854220177369907E-2</v>
      </c>
      <c r="AA210" s="316">
        <f t="shared" si="112"/>
        <v>1.6403391801815038E-2</v>
      </c>
      <c r="AB210" s="1054">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0.2279809196334687</v>
      </c>
      <c r="AC210" s="1055">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0.25629795712457248</v>
      </c>
      <c r="AD210" s="1334">
        <f t="shared" si="121"/>
        <v>0.2390374071092512</v>
      </c>
      <c r="AE210" s="1043">
        <f t="shared" si="116"/>
        <v>4.5045020999251971E-2</v>
      </c>
      <c r="AF210" s="1043">
        <f t="shared" si="117"/>
        <v>2.8854220177369907E-2</v>
      </c>
      <c r="AG210" s="1043">
        <f t="shared" si="118"/>
        <v>7.3899241176621874E-2</v>
      </c>
      <c r="AH210" s="1280">
        <f t="shared" si="119"/>
        <v>0.60954646193988293</v>
      </c>
      <c r="AI210" s="1043">
        <f t="shared" si="120"/>
        <v>0.39045353806011718</v>
      </c>
    </row>
    <row r="211" spans="1:35" x14ac:dyDescent="0.2">
      <c r="A211" s="348">
        <v>2038</v>
      </c>
      <c r="B211" s="362">
        <v>0</v>
      </c>
      <c r="C211" s="363">
        <v>0</v>
      </c>
      <c r="D211" s="363">
        <v>0</v>
      </c>
      <c r="E211" s="363">
        <v>9.1054257052676209E-5</v>
      </c>
      <c r="F211" s="363">
        <v>1.5235609776579789E-2</v>
      </c>
      <c r="G211" s="363">
        <v>6.5773910720464165E-2</v>
      </c>
      <c r="H211" s="363">
        <v>0.12555012536926924</v>
      </c>
      <c r="I211" s="363">
        <v>0.17024898555858289</v>
      </c>
      <c r="J211" s="363">
        <v>0.18962865007800231</v>
      </c>
      <c r="K211" s="363">
        <v>0.20646704365758572</v>
      </c>
      <c r="L211" s="398">
        <v>0.22017013009460423</v>
      </c>
      <c r="M211" s="314">
        <f t="shared" si="109"/>
        <v>4.5143093526803471E-2</v>
      </c>
      <c r="N211" s="316">
        <f t="shared" si="110"/>
        <v>2.3749221281854024E-2</v>
      </c>
      <c r="O211" s="362">
        <v>0</v>
      </c>
      <c r="P211" s="363">
        <v>0</v>
      </c>
      <c r="Q211" s="363">
        <v>0</v>
      </c>
      <c r="R211" s="363">
        <v>5.4650553401347102E-3</v>
      </c>
      <c r="S211" s="363">
        <v>5.0291161420088486E-2</v>
      </c>
      <c r="T211" s="363">
        <v>0.13733846218980794</v>
      </c>
      <c r="U211" s="363">
        <v>0.18527841651997934</v>
      </c>
      <c r="V211" s="363">
        <v>0.21479083705057703</v>
      </c>
      <c r="W211" s="363">
        <v>0.26052638261316641</v>
      </c>
      <c r="X211" s="363">
        <v>0.27626127020781255</v>
      </c>
      <c r="Y211" s="398">
        <v>0.29011129588048645</v>
      </c>
      <c r="Z211" s="314">
        <f t="shared" si="111"/>
        <v>3.4278866509810532E-2</v>
      </c>
      <c r="AA211" s="316">
        <f t="shared" si="112"/>
        <v>2.033303292431592E-2</v>
      </c>
      <c r="AB211" s="1054">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0.23733508541663831</v>
      </c>
      <c r="AC211" s="1055">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0.26759598858221134</v>
      </c>
      <c r="AD211" s="1334">
        <f t="shared" si="121"/>
        <v>0.25039582402848792</v>
      </c>
      <c r="AE211" s="1043">
        <f t="shared" si="116"/>
        <v>4.5143093526803471E-2</v>
      </c>
      <c r="AF211" s="1043">
        <f t="shared" si="117"/>
        <v>3.4278866509810532E-2</v>
      </c>
      <c r="AG211" s="1043">
        <f t="shared" si="118"/>
        <v>7.9421960036614003E-2</v>
      </c>
      <c r="AH211" s="1280">
        <f t="shared" si="119"/>
        <v>0.56839561131445548</v>
      </c>
      <c r="AI211" s="1043">
        <f t="shared" si="120"/>
        <v>0.43160438868554452</v>
      </c>
    </row>
    <row r="212" spans="1:35" x14ac:dyDescent="0.2">
      <c r="A212" s="348">
        <v>2039</v>
      </c>
      <c r="B212" s="362">
        <v>0</v>
      </c>
      <c r="C212" s="363">
        <v>0</v>
      </c>
      <c r="D212" s="363">
        <v>0</v>
      </c>
      <c r="E212" s="363">
        <v>1.1713806120576848E-3</v>
      </c>
      <c r="F212" s="363">
        <v>2.9237302165218353E-2</v>
      </c>
      <c r="G212" s="363">
        <v>8.5762389912294443E-2</v>
      </c>
      <c r="H212" s="363">
        <v>0.13394500477707497</v>
      </c>
      <c r="I212" s="363">
        <v>0.16927042139844381</v>
      </c>
      <c r="J212" s="363">
        <v>0.19054521583498288</v>
      </c>
      <c r="K212" s="363">
        <v>0.20167292080447868</v>
      </c>
      <c r="L212" s="398">
        <v>0.21712786128612677</v>
      </c>
      <c r="M212" s="314">
        <f t="shared" si="109"/>
        <v>4.889222410529831E-2</v>
      </c>
      <c r="N212" s="316">
        <f t="shared" si="110"/>
        <v>2.6693018667283432E-2</v>
      </c>
      <c r="O212" s="362">
        <v>0</v>
      </c>
      <c r="P212" s="363">
        <v>0</v>
      </c>
      <c r="Q212" s="363">
        <v>0</v>
      </c>
      <c r="R212" s="363">
        <v>1.61583307534835E-2</v>
      </c>
      <c r="S212" s="363">
        <v>8.019609571018306E-2</v>
      </c>
      <c r="T212" s="363">
        <v>0.1655303867752391</v>
      </c>
      <c r="U212" s="363">
        <v>0.20626669670527775</v>
      </c>
      <c r="V212" s="363">
        <v>0.23364736411463027</v>
      </c>
      <c r="W212" s="363">
        <v>0.26872182953767787</v>
      </c>
      <c r="X212" s="363">
        <v>0.28356301578236043</v>
      </c>
      <c r="Y212" s="398">
        <v>0.29634481662810097</v>
      </c>
      <c r="Z212" s="314">
        <f t="shared" si="111"/>
        <v>4.0756743220933117E-2</v>
      </c>
      <c r="AA212" s="316">
        <f t="shared" si="112"/>
        <v>2.5303837227404227E-2</v>
      </c>
      <c r="AB212" s="1054">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0.24645898741104982</v>
      </c>
      <c r="AC212" s="1055">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0.28026810389671725</v>
      </c>
      <c r="AD212" s="1334">
        <f t="shared" si="121"/>
        <v>0.26182948771049697</v>
      </c>
      <c r="AE212" s="1043">
        <f t="shared" si="116"/>
        <v>4.889222410529831E-2</v>
      </c>
      <c r="AF212" s="1043">
        <f t="shared" si="117"/>
        <v>4.0756743220933117E-2</v>
      </c>
      <c r="AG212" s="1043">
        <f t="shared" si="118"/>
        <v>8.9648967326231427E-2</v>
      </c>
      <c r="AH212" s="1280">
        <f t="shared" si="119"/>
        <v>0.54537409145361537</v>
      </c>
      <c r="AI212" s="1043">
        <f t="shared" si="120"/>
        <v>0.45462590854638468</v>
      </c>
    </row>
    <row r="213" spans="1:35" ht="13.5" thickBot="1" x14ac:dyDescent="0.25">
      <c r="A213" s="346">
        <v>2040</v>
      </c>
      <c r="B213" s="364">
        <v>0</v>
      </c>
      <c r="C213" s="365">
        <v>0</v>
      </c>
      <c r="D213" s="365">
        <v>0</v>
      </c>
      <c r="E213" s="365">
        <v>8.353699003247313E-3</v>
      </c>
      <c r="F213" s="365">
        <v>5.3791385926233073E-2</v>
      </c>
      <c r="G213" s="365">
        <v>0.10828985552925446</v>
      </c>
      <c r="H213" s="365">
        <v>0.15074677963420086</v>
      </c>
      <c r="I213" s="365">
        <v>0.17913324096530653</v>
      </c>
      <c r="J213" s="365">
        <v>0.19270964053942646</v>
      </c>
      <c r="K213" s="365">
        <v>0.20494916215459721</v>
      </c>
      <c r="L213" s="399">
        <v>0.22065822849525651</v>
      </c>
      <c r="M213" s="328">
        <f t="shared" si="109"/>
        <v>5.6498947296922918E-2</v>
      </c>
      <c r="N213" s="330">
        <f t="shared" si="110"/>
        <v>3.2426699042295365E-2</v>
      </c>
      <c r="O213" s="364">
        <v>0</v>
      </c>
      <c r="P213" s="365">
        <v>0</v>
      </c>
      <c r="Q213" s="365">
        <v>1.1541850197515685E-3</v>
      </c>
      <c r="R213" s="365">
        <v>4.5266389430299668E-2</v>
      </c>
      <c r="S213" s="365">
        <v>0.11903061366193325</v>
      </c>
      <c r="T213" s="365">
        <v>0.19449708291912457</v>
      </c>
      <c r="U213" s="365">
        <v>0.22442640617990417</v>
      </c>
      <c r="V213" s="365">
        <v>0.25150557670795587</v>
      </c>
      <c r="W213" s="365">
        <v>0.27644712731423959</v>
      </c>
      <c r="X213" s="365">
        <v>0.29030444445639592</v>
      </c>
      <c r="Y213" s="399">
        <v>0.30193260168225056</v>
      </c>
      <c r="Z213" s="328">
        <f t="shared" si="111"/>
        <v>4.9144197260274566E-2</v>
      </c>
      <c r="AA213" s="330">
        <f t="shared" si="112"/>
        <v>3.2243830914104751E-2</v>
      </c>
      <c r="AB213" s="1054">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1055">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0.29637655422908132</v>
      </c>
      <c r="AD213" s="1334">
        <f t="shared" si="121"/>
        <v>0.27652509803443581</v>
      </c>
      <c r="AE213" s="1043">
        <f t="shared" si="116"/>
        <v>5.6498947296922918E-2</v>
      </c>
      <c r="AF213" s="1043">
        <f t="shared" si="117"/>
        <v>4.9144197260274566E-2</v>
      </c>
      <c r="AG213" s="1043">
        <f t="shared" si="118"/>
        <v>0.10564314455719748</v>
      </c>
      <c r="AH213" s="1280">
        <f t="shared" si="119"/>
        <v>0.53480940513213493</v>
      </c>
      <c r="AI213" s="1043">
        <f t="shared" si="120"/>
        <v>0.46519059486786518</v>
      </c>
    </row>
    <row r="214" spans="1:35" x14ac:dyDescent="0.2">
      <c r="A214" s="347">
        <v>2041</v>
      </c>
      <c r="B214" s="360">
        <v>0</v>
      </c>
      <c r="C214" s="361">
        <v>0</v>
      </c>
      <c r="D214" s="361">
        <v>5.9526468169787781E-4</v>
      </c>
      <c r="E214" s="361">
        <v>2.8798346334666821E-2</v>
      </c>
      <c r="F214" s="361">
        <v>8.4565435135637287E-2</v>
      </c>
      <c r="G214" s="361">
        <v>0.1263280724464875</v>
      </c>
      <c r="H214" s="361">
        <v>0.16284112990795854</v>
      </c>
      <c r="I214" s="361">
        <v>0.19124030506153383</v>
      </c>
      <c r="J214" s="361">
        <v>0.20404107304004668</v>
      </c>
      <c r="K214" s="361">
        <v>0.21523073303794096</v>
      </c>
      <c r="L214" s="397">
        <v>0.22462432046636249</v>
      </c>
      <c r="M214" s="300">
        <f t="shared" si="109"/>
        <v>6.5903049558120444E-2</v>
      </c>
      <c r="N214" s="302">
        <f t="shared" si="110"/>
        <v>3.9921796655117629E-2</v>
      </c>
      <c r="O214" s="360">
        <v>0</v>
      </c>
      <c r="P214" s="361">
        <v>0</v>
      </c>
      <c r="Q214" s="361">
        <v>1.2447295000247277E-2</v>
      </c>
      <c r="R214" s="361">
        <v>8.6537549519629511E-2</v>
      </c>
      <c r="S214" s="361">
        <v>0.15494003870852652</v>
      </c>
      <c r="T214" s="361">
        <v>0.21359000577998427</v>
      </c>
      <c r="U214" s="361">
        <v>0.24274260187249674</v>
      </c>
      <c r="V214" s="361">
        <v>0.2679466052744307</v>
      </c>
      <c r="W214" s="361">
        <v>0.29029595616381854</v>
      </c>
      <c r="X214" s="361">
        <v>0.29641008634951149</v>
      </c>
      <c r="Y214" s="397">
        <v>0.30679597946055726</v>
      </c>
      <c r="Z214" s="300">
        <f t="shared" si="111"/>
        <v>5.8018795030749665E-2</v>
      </c>
      <c r="AA214" s="302">
        <f t="shared" si="112"/>
        <v>4.0103858113158843E-2</v>
      </c>
      <c r="AB214" s="1054">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0.27381455470071747</v>
      </c>
      <c r="AC214" s="1055">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0.31244200264660171</v>
      </c>
      <c r="AD214" s="1334">
        <f t="shared" si="121"/>
        <v>0.29189948550826367</v>
      </c>
      <c r="AE214" s="1043">
        <f t="shared" si="116"/>
        <v>6.5903049558120444E-2</v>
      </c>
      <c r="AF214" s="1043">
        <f t="shared" si="117"/>
        <v>5.8018795030749665E-2</v>
      </c>
      <c r="AG214" s="1043">
        <f t="shared" si="118"/>
        <v>0.12392184458887011</v>
      </c>
      <c r="AH214" s="1280">
        <f t="shared" si="119"/>
        <v>0.53181139916666031</v>
      </c>
      <c r="AI214" s="1043">
        <f t="shared" si="120"/>
        <v>0.46818860083333969</v>
      </c>
    </row>
    <row r="215" spans="1:35" x14ac:dyDescent="0.2">
      <c r="A215" s="348">
        <v>2042</v>
      </c>
      <c r="B215" s="362">
        <v>0</v>
      </c>
      <c r="C215" s="363">
        <v>0</v>
      </c>
      <c r="D215" s="363">
        <v>1.4317193734612817E-2</v>
      </c>
      <c r="E215" s="363">
        <v>6.5057482604178846E-2</v>
      </c>
      <c r="F215" s="363">
        <v>0.11784216601164933</v>
      </c>
      <c r="G215" s="363">
        <v>0.15440701327834064</v>
      </c>
      <c r="H215" s="363">
        <v>0.18426737666517093</v>
      </c>
      <c r="I215" s="363">
        <v>0.2035662238811497</v>
      </c>
      <c r="J215" s="363">
        <v>0.21495816269194495</v>
      </c>
      <c r="K215" s="363">
        <v>0.22013709781852117</v>
      </c>
      <c r="L215" s="398">
        <v>0.22872705921449585</v>
      </c>
      <c r="M215" s="314">
        <f t="shared" si="109"/>
        <v>7.9172300406442728E-2</v>
      </c>
      <c r="N215" s="316">
        <f t="shared" si="110"/>
        <v>5.1302743728778369E-2</v>
      </c>
      <c r="O215" s="362">
        <v>0</v>
      </c>
      <c r="P215" s="363">
        <v>1.5911642453907175E-3</v>
      </c>
      <c r="Q215" s="363">
        <v>5.406913793968935E-2</v>
      </c>
      <c r="R215" s="363">
        <v>0.14344656906988615</v>
      </c>
      <c r="S215" s="363">
        <v>0.20207973071196939</v>
      </c>
      <c r="T215" s="363">
        <v>0.24089667510195129</v>
      </c>
      <c r="U215" s="363">
        <v>0.2678173501344665</v>
      </c>
      <c r="V215" s="363">
        <v>0.28322523815750222</v>
      </c>
      <c r="W215" s="363">
        <v>0.29627462738984595</v>
      </c>
      <c r="X215" s="363">
        <v>0.30178768529625444</v>
      </c>
      <c r="Y215" s="398">
        <v>0.3108393646527598</v>
      </c>
      <c r="Z215" s="314">
        <f t="shared" si="111"/>
        <v>7.0855445300625125E-2</v>
      </c>
      <c r="AA215" s="316">
        <f t="shared" si="112"/>
        <v>5.2349972920981966E-2</v>
      </c>
      <c r="AB215" s="1054">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0.29309041447257445</v>
      </c>
      <c r="AC215" s="1055">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0.33411585029615021</v>
      </c>
      <c r="AD215" s="1334">
        <f t="shared" si="121"/>
        <v>0.31246600070318686</v>
      </c>
      <c r="AE215" s="1043">
        <f t="shared" si="116"/>
        <v>7.9172300406442728E-2</v>
      </c>
      <c r="AF215" s="1043">
        <f t="shared" si="117"/>
        <v>7.0855445300625125E-2</v>
      </c>
      <c r="AG215" s="1043">
        <f t="shared" si="118"/>
        <v>0.15002774570706784</v>
      </c>
      <c r="AH215" s="1280">
        <f t="shared" si="119"/>
        <v>0.52771772336717115</v>
      </c>
      <c r="AI215" s="1043">
        <f t="shared" si="120"/>
        <v>0.4722822766328289</v>
      </c>
    </row>
    <row r="216" spans="1:35" x14ac:dyDescent="0.2">
      <c r="A216" s="348">
        <v>2043</v>
      </c>
      <c r="B216" s="362">
        <v>0</v>
      </c>
      <c r="C216" s="363">
        <v>3.9018276716009876E-3</v>
      </c>
      <c r="D216" s="363">
        <v>5.5693703929640029E-2</v>
      </c>
      <c r="E216" s="363">
        <v>0.1154866414726832</v>
      </c>
      <c r="F216" s="363">
        <v>0.15873702634363304</v>
      </c>
      <c r="G216" s="363">
        <v>0.17754634571686162</v>
      </c>
      <c r="H216" s="363">
        <v>0.19899095163930025</v>
      </c>
      <c r="I216" s="363">
        <v>0.21023818117895035</v>
      </c>
      <c r="J216" s="363">
        <v>0.21985815864832614</v>
      </c>
      <c r="K216" s="363">
        <v>0.22475872498288407</v>
      </c>
      <c r="L216" s="398">
        <v>0.23227557645172434</v>
      </c>
      <c r="M216" s="314">
        <f t="shared" si="109"/>
        <v>9.4891873727472112E-2</v>
      </c>
      <c r="N216" s="316">
        <f t="shared" si="110"/>
        <v>6.684367050868871E-2</v>
      </c>
      <c r="O216" s="362">
        <v>0</v>
      </c>
      <c r="P216" s="363">
        <v>2.1655843857776649E-2</v>
      </c>
      <c r="Q216" s="363">
        <v>0.10754491419714568</v>
      </c>
      <c r="R216" s="363">
        <v>0.18866077714212567</v>
      </c>
      <c r="S216" s="363">
        <v>0.22923627309417774</v>
      </c>
      <c r="T216" s="363">
        <v>0.26540009054243457</v>
      </c>
      <c r="U216" s="363">
        <v>0.28223912110372806</v>
      </c>
      <c r="V216" s="363">
        <v>0.2895594502856339</v>
      </c>
      <c r="W216" s="363">
        <v>0.30145876657310328</v>
      </c>
      <c r="X216" s="363">
        <v>0.30632598463308391</v>
      </c>
      <c r="Y216" s="398">
        <v>0.31394516059575089</v>
      </c>
      <c r="Z216" s="314">
        <f t="shared" si="111"/>
        <v>8.1273454773096956E-2</v>
      </c>
      <c r="AA216" s="316">
        <f t="shared" si="112"/>
        <v>6.3694300689767142E-2</v>
      </c>
      <c r="AB216" s="1054">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0.31859101470540518</v>
      </c>
      <c r="AC216" s="1055">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0.35396620444508914</v>
      </c>
      <c r="AD216" s="1334">
        <f t="shared" si="121"/>
        <v>0.33491127424721756</v>
      </c>
      <c r="AE216" s="1043">
        <f t="shared" si="116"/>
        <v>9.4891873727472112E-2</v>
      </c>
      <c r="AF216" s="1043">
        <f t="shared" si="117"/>
        <v>8.1273454773096956E-2</v>
      </c>
      <c r="AG216" s="1043">
        <f t="shared" si="118"/>
        <v>0.17616532850056907</v>
      </c>
      <c r="AH216" s="1280">
        <f t="shared" si="119"/>
        <v>0.53865238145975802</v>
      </c>
      <c r="AI216" s="1043">
        <f t="shared" si="120"/>
        <v>0.46134761854024198</v>
      </c>
    </row>
    <row r="217" spans="1:35" x14ac:dyDescent="0.2">
      <c r="A217" s="348">
        <v>2044</v>
      </c>
      <c r="B217" s="362">
        <v>0</v>
      </c>
      <c r="C217" s="363">
        <v>3.6810456893346159E-2</v>
      </c>
      <c r="D217" s="363">
        <v>0.10695683753187119</v>
      </c>
      <c r="E217" s="363">
        <v>0.15855707914978515</v>
      </c>
      <c r="F217" s="363">
        <v>0.18449123726102318</v>
      </c>
      <c r="G217" s="363">
        <v>0.19980084233998946</v>
      </c>
      <c r="H217" s="363">
        <v>0.21191179517275507</v>
      </c>
      <c r="I217" s="363">
        <v>0.22106946799615407</v>
      </c>
      <c r="J217" s="363">
        <v>0.22469037537829695</v>
      </c>
      <c r="K217" s="363">
        <v>0.22887016074934297</v>
      </c>
      <c r="L217" s="398">
        <v>0.23522202212612084</v>
      </c>
      <c r="M217" s="314">
        <f t="shared" si="109"/>
        <v>0.10969248325157856</v>
      </c>
      <c r="N217" s="316">
        <f t="shared" si="110"/>
        <v>8.3547573075693354E-2</v>
      </c>
      <c r="O217" s="362">
        <v>0</v>
      </c>
      <c r="P217" s="363">
        <v>5.8272643059545666E-2</v>
      </c>
      <c r="Q217" s="363">
        <v>0.14068012163635649</v>
      </c>
      <c r="R217" s="363">
        <v>0.21520198281554229</v>
      </c>
      <c r="S217" s="363">
        <v>0.25428617511453017</v>
      </c>
      <c r="T217" s="363">
        <v>0.27971593863616923</v>
      </c>
      <c r="U217" s="363">
        <v>0.2886848417165882</v>
      </c>
      <c r="V217" s="363">
        <v>0.29631690500011559</v>
      </c>
      <c r="W217" s="363">
        <v>0.30614795437646747</v>
      </c>
      <c r="X217" s="363">
        <v>0.310325644910803</v>
      </c>
      <c r="Y217" s="398">
        <v>0.31376472340448741</v>
      </c>
      <c r="Z217" s="314">
        <f t="shared" si="111"/>
        <v>8.8919377897222387E-2</v>
      </c>
      <c r="AA217" s="316">
        <f t="shared" si="112"/>
        <v>7.2803996151504347E-2</v>
      </c>
      <c r="AB217" s="1054">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0.34305892092239337</v>
      </c>
      <c r="AC217" s="1055">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0.36898300185426314</v>
      </c>
      <c r="AD217" s="1334">
        <f t="shared" si="121"/>
        <v>0.35466524259767374</v>
      </c>
      <c r="AE217" s="1043">
        <f t="shared" si="116"/>
        <v>0.10969248325157856</v>
      </c>
      <c r="AF217" s="1043">
        <f t="shared" si="117"/>
        <v>8.8919377897222387E-2</v>
      </c>
      <c r="AG217" s="1043">
        <f t="shared" si="118"/>
        <v>0.19861186114880094</v>
      </c>
      <c r="AH217" s="1280">
        <f t="shared" si="119"/>
        <v>0.55229573207310323</v>
      </c>
      <c r="AI217" s="1043">
        <f t="shared" si="120"/>
        <v>0.44770426792689672</v>
      </c>
    </row>
    <row r="218" spans="1:35" ht="13.5" thickBot="1" x14ac:dyDescent="0.25">
      <c r="A218" s="346">
        <v>2045</v>
      </c>
      <c r="B218" s="364">
        <v>0</v>
      </c>
      <c r="C218" s="365">
        <v>9.2914689013786689E-2</v>
      </c>
      <c r="D218" s="365">
        <v>0.1422458765050699</v>
      </c>
      <c r="E218" s="365">
        <v>0.18451533713675308</v>
      </c>
      <c r="F218" s="365">
        <v>0.20064658779918806</v>
      </c>
      <c r="G218" s="365">
        <v>0.20756148544334321</v>
      </c>
      <c r="H218" s="365">
        <v>0.21772633182153261</v>
      </c>
      <c r="I218" s="365">
        <v>0.2259616665925856</v>
      </c>
      <c r="J218" s="365">
        <v>0.22905833806479517</v>
      </c>
      <c r="K218" s="365">
        <v>0.23242729948546517</v>
      </c>
      <c r="L218" s="399">
        <v>0.23530032271309159</v>
      </c>
      <c r="M218" s="328">
        <f t="shared" si="109"/>
        <v>0.1195733875103008</v>
      </c>
      <c r="N218" s="330">
        <f t="shared" si="110"/>
        <v>9.6919908207543329E-2</v>
      </c>
      <c r="O218" s="364">
        <v>0</v>
      </c>
      <c r="P218" s="365">
        <v>0.10140419871103193</v>
      </c>
      <c r="Q218" s="365">
        <v>0.14963727491092904</v>
      </c>
      <c r="R218" s="365">
        <v>0.23931796746003625</v>
      </c>
      <c r="S218" s="365">
        <v>0.26851588496069545</v>
      </c>
      <c r="T218" s="365">
        <v>0.28544929676635966</v>
      </c>
      <c r="U218" s="365">
        <v>0.29397847484970113</v>
      </c>
      <c r="V218" s="365">
        <v>0.30104167246631114</v>
      </c>
      <c r="W218" s="365">
        <v>0.30953844589832302</v>
      </c>
      <c r="X218" s="365">
        <v>0.31297279563311114</v>
      </c>
      <c r="Y218" s="399">
        <v>0.31560908715455499</v>
      </c>
      <c r="Z218" s="328">
        <f t="shared" si="111"/>
        <v>9.4059236001646895E-2</v>
      </c>
      <c r="AA218" s="330">
        <f t="shared" si="112"/>
        <v>7.9472835365470451E-2</v>
      </c>
      <c r="AB218" s="1054">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0.36293396098318448</v>
      </c>
      <c r="AC218" s="1055">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0.37987575696166098</v>
      </c>
      <c r="AD218" s="1334">
        <f t="shared" si="121"/>
        <v>0.37039317933679961</v>
      </c>
      <c r="AE218" s="1043">
        <f t="shared" si="116"/>
        <v>0.1195733875103008</v>
      </c>
      <c r="AF218" s="1043">
        <f t="shared" si="117"/>
        <v>9.4059236001646895E-2</v>
      </c>
      <c r="AG218" s="1043">
        <f t="shared" si="118"/>
        <v>0.2136326235119477</v>
      </c>
      <c r="AH218" s="1280">
        <f t="shared" si="119"/>
        <v>0.55971501704473281</v>
      </c>
      <c r="AI218" s="1043">
        <f t="shared" si="120"/>
        <v>0.44028498295526713</v>
      </c>
    </row>
    <row r="219" spans="1:35" x14ac:dyDescent="0.2">
      <c r="A219" s="347">
        <v>2046</v>
      </c>
      <c r="B219" s="360">
        <v>0</v>
      </c>
      <c r="C219" s="361">
        <v>0.12865893071000559</v>
      </c>
      <c r="D219" s="361">
        <v>0.15539424391705139</v>
      </c>
      <c r="E219" s="361">
        <v>0.20199970579177892</v>
      </c>
      <c r="F219" s="361">
        <v>0.20887954671356948</v>
      </c>
      <c r="G219" s="361">
        <v>0.21983910499124137</v>
      </c>
      <c r="H219" s="361">
        <v>0.22310494200397094</v>
      </c>
      <c r="I219" s="361">
        <v>0.23033387765888566</v>
      </c>
      <c r="J219" s="361">
        <v>0.23286253914337438</v>
      </c>
      <c r="K219" s="361">
        <v>0.2325085092898409</v>
      </c>
      <c r="L219" s="397">
        <v>0.23759304317351052</v>
      </c>
      <c r="M219" s="300">
        <f t="shared" si="109"/>
        <v>0.12592151558602277</v>
      </c>
      <c r="N219" s="302">
        <f t="shared" si="110"/>
        <v>0.10495169233596623</v>
      </c>
      <c r="O219" s="360">
        <v>3.6397161296075156E-3</v>
      </c>
      <c r="P219" s="361">
        <v>0.13707223206766433</v>
      </c>
      <c r="Q219" s="361">
        <v>0.16063939090738566</v>
      </c>
      <c r="R219" s="361">
        <v>0.24581122166491476</v>
      </c>
      <c r="S219" s="361">
        <v>0.27413270853922295</v>
      </c>
      <c r="T219" s="361">
        <v>0.29019511503627865</v>
      </c>
      <c r="U219" s="361">
        <v>0.29823745066522139</v>
      </c>
      <c r="V219" s="361">
        <v>0.30305122721929556</v>
      </c>
      <c r="W219" s="361">
        <v>0.30832274955557037</v>
      </c>
      <c r="X219" s="361">
        <v>0.31174975679279071</v>
      </c>
      <c r="Y219" s="397">
        <v>0.31438050370410997</v>
      </c>
      <c r="Z219" s="300">
        <f t="shared" si="111"/>
        <v>9.6912143985488419E-2</v>
      </c>
      <c r="AA219" s="302">
        <f t="shared" si="112"/>
        <v>8.3902398181550583E-2</v>
      </c>
      <c r="AB219" s="1054">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0.37215499924226225</v>
      </c>
      <c r="AC219" s="1055">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0.3881181566338659</v>
      </c>
      <c r="AD219" s="1334">
        <f t="shared" si="121"/>
        <v>0.37909750429546152</v>
      </c>
      <c r="AE219" s="1043">
        <f t="shared" si="116"/>
        <v>0.12592151558602277</v>
      </c>
      <c r="AF219" s="1043">
        <f t="shared" si="117"/>
        <v>9.6912143985488419E-2</v>
      </c>
      <c r="AG219" s="1043">
        <f t="shared" si="118"/>
        <v>0.22283365957151119</v>
      </c>
      <c r="AH219" s="1280">
        <f t="shared" si="119"/>
        <v>0.56509198757565782</v>
      </c>
      <c r="AI219" s="1043">
        <f t="shared" si="120"/>
        <v>0.43490801242434218</v>
      </c>
    </row>
    <row r="220" spans="1:35" x14ac:dyDescent="0.2">
      <c r="A220" s="348">
        <v>2047</v>
      </c>
      <c r="B220" s="362">
        <v>0</v>
      </c>
      <c r="C220" s="363">
        <v>0.14511136667791574</v>
      </c>
      <c r="D220" s="363">
        <v>0.16903583413386411</v>
      </c>
      <c r="E220" s="363">
        <v>0.21130192824304775</v>
      </c>
      <c r="F220" s="363">
        <v>0.21561552348588953</v>
      </c>
      <c r="G220" s="363">
        <v>0.22123318875108844</v>
      </c>
      <c r="H220" s="363">
        <v>0.2280033828407656</v>
      </c>
      <c r="I220" s="363">
        <v>0.23064018654311091</v>
      </c>
      <c r="J220" s="363">
        <v>0.23317224199851269</v>
      </c>
      <c r="K220" s="363">
        <v>0.23565949436040393</v>
      </c>
      <c r="L220" s="398">
        <v>0.23787266379681812</v>
      </c>
      <c r="M220" s="314">
        <f t="shared" si="109"/>
        <v>0.12957464594436363</v>
      </c>
      <c r="N220" s="316">
        <f t="shared" si="110"/>
        <v>0.10964177733603218</v>
      </c>
      <c r="O220" s="362">
        <v>7.0132068004403027E-3</v>
      </c>
      <c r="P220" s="363">
        <v>0.16499316374060483</v>
      </c>
      <c r="Q220" s="363">
        <v>0.162103854306376</v>
      </c>
      <c r="R220" s="363">
        <v>0.25133254728736509</v>
      </c>
      <c r="S220" s="363">
        <v>0.27240428993479676</v>
      </c>
      <c r="T220" s="363">
        <v>0.28845725792545751</v>
      </c>
      <c r="U220" s="363">
        <v>0.29533405798420159</v>
      </c>
      <c r="V220" s="363">
        <v>0.30130197860427249</v>
      </c>
      <c r="W220" s="363">
        <v>0.30998555613944134</v>
      </c>
      <c r="X220" s="363">
        <v>0.30998555613944134</v>
      </c>
      <c r="Y220" s="398">
        <v>0.31260823959334028</v>
      </c>
      <c r="Z220" s="314">
        <f t="shared" si="111"/>
        <v>9.769282973218292E-2</v>
      </c>
      <c r="AA220" s="316">
        <f t="shared" si="112"/>
        <v>8.6100771103397408E-2</v>
      </c>
      <c r="AB220" s="1054">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0.37757427298426866</v>
      </c>
      <c r="AC220" s="1055">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0.39419527935429938</v>
      </c>
      <c r="AD220" s="1334">
        <f t="shared" si="121"/>
        <v>0.3847189519157842</v>
      </c>
      <c r="AE220" s="1043">
        <f t="shared" si="116"/>
        <v>0.12957464594436363</v>
      </c>
      <c r="AF220" s="1043">
        <f t="shared" si="117"/>
        <v>9.769282973218292E-2</v>
      </c>
      <c r="AG220" s="1043">
        <f t="shared" si="118"/>
        <v>0.22726747567654654</v>
      </c>
      <c r="AH220" s="1280">
        <f t="shared" si="119"/>
        <v>0.57014161643075545</v>
      </c>
      <c r="AI220" s="1043">
        <f t="shared" si="120"/>
        <v>0.42985838356924466</v>
      </c>
    </row>
    <row r="221" spans="1:35" x14ac:dyDescent="0.2">
      <c r="A221" s="348">
        <v>2048</v>
      </c>
      <c r="B221" s="362">
        <v>0</v>
      </c>
      <c r="C221" s="363">
        <v>0.1708383738487925</v>
      </c>
      <c r="D221" s="363">
        <v>0.17268663966703274</v>
      </c>
      <c r="E221" s="363">
        <v>0.21277708307090004</v>
      </c>
      <c r="F221" s="363">
        <v>0.22250923201124326</v>
      </c>
      <c r="G221" s="363">
        <v>0.22664792415712348</v>
      </c>
      <c r="H221" s="363">
        <v>0.22829207744255736</v>
      </c>
      <c r="I221" s="363">
        <v>0.23093235031686218</v>
      </c>
      <c r="J221" s="363">
        <v>0.23346760702886418</v>
      </c>
      <c r="K221" s="363">
        <v>0.23595783404202961</v>
      </c>
      <c r="L221" s="398">
        <v>0.23817354232795776</v>
      </c>
      <c r="M221" s="314">
        <f t="shared" si="109"/>
        <v>0.13212623234506096</v>
      </c>
      <c r="N221" s="316">
        <f t="shared" si="110"/>
        <v>0.1134667322333876</v>
      </c>
      <c r="O221" s="362">
        <v>1.0571644689149505E-2</v>
      </c>
      <c r="P221" s="363">
        <v>0.17561379434346547</v>
      </c>
      <c r="Q221" s="363">
        <v>0.15953167287121542</v>
      </c>
      <c r="R221" s="363">
        <v>0.25712580314752326</v>
      </c>
      <c r="S221" s="363">
        <v>0.27766598346623661</v>
      </c>
      <c r="T221" s="363">
        <v>0.29276065566636389</v>
      </c>
      <c r="U221" s="363">
        <v>0.29906097037973861</v>
      </c>
      <c r="V221" s="363">
        <v>0.30438572329870373</v>
      </c>
      <c r="W221" s="363">
        <v>0.3089488761941383</v>
      </c>
      <c r="X221" s="363">
        <v>0.31156678530428022</v>
      </c>
      <c r="Y221" s="398">
        <v>0.3133097479023606</v>
      </c>
      <c r="Z221" s="314">
        <f t="shared" si="111"/>
        <v>9.9221434754680843E-2</v>
      </c>
      <c r="AA221" s="316">
        <f t="shared" si="112"/>
        <v>8.7919566975997732E-2</v>
      </c>
      <c r="AB221" s="1054">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0.38252523451365772</v>
      </c>
      <c r="AC221" s="1055">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334">
        <f t="shared" si="121"/>
        <v>0.38826181072643562</v>
      </c>
      <c r="AE221" s="1043">
        <f t="shared" si="116"/>
        <v>0.13212623234506096</v>
      </c>
      <c r="AF221" s="1043">
        <f t="shared" si="117"/>
        <v>9.9221434754680843E-2</v>
      </c>
      <c r="AG221" s="1043">
        <f t="shared" si="118"/>
        <v>0.2313476670997418</v>
      </c>
      <c r="AH221" s="1280">
        <f t="shared" si="119"/>
        <v>0.57111547309485888</v>
      </c>
      <c r="AI221" s="1043">
        <f t="shared" si="120"/>
        <v>0.42888452690514112</v>
      </c>
    </row>
    <row r="222" spans="1:35" x14ac:dyDescent="0.2">
      <c r="A222" s="348">
        <v>2049</v>
      </c>
      <c r="B222" s="362">
        <v>2.2542364929867539E-4</v>
      </c>
      <c r="C222" s="363">
        <v>0.1757647324359794</v>
      </c>
      <c r="D222" s="363">
        <v>0.18075612557287998</v>
      </c>
      <c r="E222" s="363">
        <v>0.2200781054943251</v>
      </c>
      <c r="F222" s="363">
        <v>0.22277496768282376</v>
      </c>
      <c r="G222" s="363">
        <v>0.22692004941973487</v>
      </c>
      <c r="H222" s="363">
        <v>0.22856681293443137</v>
      </c>
      <c r="I222" s="363">
        <v>0.23471720693975839</v>
      </c>
      <c r="J222" s="363">
        <v>0.23663513718931725</v>
      </c>
      <c r="K222" s="363">
        <v>0.23624163332527454</v>
      </c>
      <c r="L222" s="398">
        <v>0.2384597324998472</v>
      </c>
      <c r="M222" s="314">
        <f t="shared" si="109"/>
        <v>0.13383954657140074</v>
      </c>
      <c r="N222" s="316">
        <f t="shared" si="110"/>
        <v>0.11557006829070511</v>
      </c>
      <c r="O222" s="362">
        <v>1.279301960681079E-2</v>
      </c>
      <c r="P222" s="363">
        <v>0.1658814131656188</v>
      </c>
      <c r="Q222" s="363">
        <v>0.16959821493610996</v>
      </c>
      <c r="R222" s="363">
        <v>0.25437827453593903</v>
      </c>
      <c r="S222" s="363">
        <v>0.27493756523594709</v>
      </c>
      <c r="T222" s="363">
        <v>0.29001761886024302</v>
      </c>
      <c r="U222" s="363">
        <v>0.29631046754005119</v>
      </c>
      <c r="V222" s="363">
        <v>0.30162745887958115</v>
      </c>
      <c r="W222" s="363">
        <v>0.30618580857530459</v>
      </c>
      <c r="X222" s="363">
        <v>0.30879086209020951</v>
      </c>
      <c r="Y222" s="398">
        <v>0.31052536442088075</v>
      </c>
      <c r="Z222" s="314">
        <f t="shared" si="111"/>
        <v>9.8547582099745387E-2</v>
      </c>
      <c r="AA222" s="316">
        <f t="shared" si="112"/>
        <v>8.7351982216267055E-2</v>
      </c>
      <c r="AB222" s="1054">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0.38475270354084695</v>
      </c>
      <c r="AC222" s="1055">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0.39621389060769663</v>
      </c>
      <c r="AD222" s="1334">
        <f t="shared" si="121"/>
        <v>0.38961300832575274</v>
      </c>
      <c r="AE222" s="1043">
        <f t="shared" si="116"/>
        <v>0.13383954657140074</v>
      </c>
      <c r="AF222" s="1043">
        <f t="shared" si="117"/>
        <v>9.8547582099745387E-2</v>
      </c>
      <c r="AG222" s="1043">
        <f t="shared" si="118"/>
        <v>0.23238712867114614</v>
      </c>
      <c r="AH222" s="1280">
        <f t="shared" si="119"/>
        <v>0.57593356110870797</v>
      </c>
      <c r="AI222" s="1043">
        <f t="shared" si="120"/>
        <v>0.42406643889129192</v>
      </c>
    </row>
    <row r="223" spans="1:35" ht="13.5" thickBot="1" x14ac:dyDescent="0.25">
      <c r="A223" s="346">
        <v>2050</v>
      </c>
      <c r="B223" s="364">
        <v>3.3035161930359506E-4</v>
      </c>
      <c r="C223" s="365">
        <v>0.18562275131175315</v>
      </c>
      <c r="D223" s="365">
        <v>0.18073130278510618</v>
      </c>
      <c r="E223" s="365">
        <v>0.22083339263626289</v>
      </c>
      <c r="F223" s="365">
        <v>0.2230273156164797</v>
      </c>
      <c r="G223" s="365">
        <v>0.22717833394029383</v>
      </c>
      <c r="H223" s="365">
        <v>0.23292063249893202</v>
      </c>
      <c r="I223" s="365">
        <v>0.23498451652920432</v>
      </c>
      <c r="J223" s="365">
        <v>0.23690462631929129</v>
      </c>
      <c r="K223" s="365">
        <v>0.236510820422555</v>
      </c>
      <c r="L223" s="399">
        <v>0.24021166409982506</v>
      </c>
      <c r="M223" s="328">
        <f t="shared" si="109"/>
        <v>0.13477044631255358</v>
      </c>
      <c r="N223" s="330">
        <f t="shared" si="110"/>
        <v>0.11682994440139696</v>
      </c>
      <c r="O223" s="364">
        <v>1.4139313405662692E-2</v>
      </c>
      <c r="P223" s="365">
        <v>0.1780659576205243</v>
      </c>
      <c r="Q223" s="365">
        <v>0.16857637121606706</v>
      </c>
      <c r="R223" s="365">
        <v>0.25280036504744491</v>
      </c>
      <c r="S223" s="365">
        <v>0.27337339936397553</v>
      </c>
      <c r="T223" s="365">
        <v>0.28844649215588147</v>
      </c>
      <c r="U223" s="365">
        <v>0.2947356314088842</v>
      </c>
      <c r="V223" s="365">
        <v>0.30004861611514727</v>
      </c>
      <c r="W223" s="365">
        <v>0.30460465334271775</v>
      </c>
      <c r="X223" s="365">
        <v>0.30720226489576857</v>
      </c>
      <c r="Y223" s="399">
        <v>0.30893186857639821</v>
      </c>
      <c r="Z223" s="328">
        <f t="shared" si="111"/>
        <v>9.8367130237072456E-2</v>
      </c>
      <c r="AA223" s="330">
        <f t="shared" si="112"/>
        <v>8.7797400589912047E-2</v>
      </c>
      <c r="AB223" s="1056">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0.38613037618287227</v>
      </c>
      <c r="AC223" s="1057">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0.39868922747977636</v>
      </c>
      <c r="AD223" s="1335">
        <f t="shared" si="121"/>
        <v>0.39142929958867356</v>
      </c>
      <c r="AE223" s="1043">
        <f t="shared" ref="AE223" si="122">SUMPRODUCT($B$74:$L$74,B223:L223)</f>
        <v>0.13477044631255358</v>
      </c>
      <c r="AF223" s="1043">
        <f t="shared" ref="AF223" si="123">SUMPRODUCT($O$74:$Y$74,O223:Y223)</f>
        <v>9.8367130237072456E-2</v>
      </c>
      <c r="AG223" s="1043">
        <f t="shared" ref="AG223" si="124">SUM(AE223:AF223)</f>
        <v>0.23313757654962602</v>
      </c>
      <c r="AH223" s="1280">
        <f t="shared" ref="AH223" si="125">IF(AG223&gt;0,AE223/AG223,0)</f>
        <v>0.57807260548522577</v>
      </c>
      <c r="AI223" s="1043">
        <f t="shared" ref="AI223" si="126">IF(AG223&gt;0,AF223/AG223,0)</f>
        <v>0.42192739451477429</v>
      </c>
    </row>
    <row r="224" spans="1:35" x14ac:dyDescent="0.2">
      <c r="B224" s="245" t="str">
        <f>B$120</f>
        <v>Output generated: 2/21/2020 18:23</v>
      </c>
      <c r="O224" s="245" t="str">
        <f>O$120</f>
        <v>Output generated: 2/21/2020 18:23</v>
      </c>
      <c r="AE224" s="1043"/>
      <c r="AF224" s="1043"/>
      <c r="AG224" s="1043"/>
      <c r="AH224" s="1043"/>
      <c r="AI224" s="1043"/>
    </row>
    <row r="225" spans="1:39" x14ac:dyDescent="0.2">
      <c r="AE225" s="1043"/>
      <c r="AF225" s="1043"/>
      <c r="AG225" s="1043"/>
      <c r="AH225" s="1043"/>
      <c r="AI225" s="1043"/>
    </row>
    <row r="226" spans="1:39" ht="13.5" thickBot="1" x14ac:dyDescent="0.25">
      <c r="AE226" s="1043"/>
      <c r="AF226" s="1043"/>
      <c r="AG226" s="1043"/>
      <c r="AH226" s="1043"/>
      <c r="AI226" s="1043"/>
    </row>
    <row r="227" spans="1:39" ht="15" x14ac:dyDescent="0.25">
      <c r="A227" s="351"/>
      <c r="B227" s="1561" t="s">
        <v>266</v>
      </c>
      <c r="C227" s="1562"/>
      <c r="D227" s="1562"/>
      <c r="E227" s="1562"/>
      <c r="F227" s="1562"/>
      <c r="G227" s="1562"/>
      <c r="H227" s="1562"/>
      <c r="I227" s="1562"/>
      <c r="J227" s="1562"/>
      <c r="K227" s="1562"/>
      <c r="L227" s="1562"/>
      <c r="M227" s="1562"/>
      <c r="N227" s="1563"/>
      <c r="O227" s="1561" t="s">
        <v>267</v>
      </c>
      <c r="P227" s="1562"/>
      <c r="Q227" s="1562"/>
      <c r="R227" s="1562"/>
      <c r="S227" s="1562"/>
      <c r="T227" s="1562"/>
      <c r="U227" s="1562"/>
      <c r="V227" s="1562"/>
      <c r="W227" s="1562"/>
      <c r="X227" s="1562"/>
      <c r="Y227" s="1562"/>
      <c r="Z227" s="1562"/>
      <c r="AA227" s="1563"/>
      <c r="AE227" s="1043"/>
      <c r="AF227" s="1043"/>
      <c r="AG227" s="1043"/>
      <c r="AH227" s="1043"/>
      <c r="AI227" s="1043"/>
    </row>
    <row r="228" spans="1:39" x14ac:dyDescent="0.2">
      <c r="A228" s="342"/>
      <c r="B228" s="1558" t="s">
        <v>121</v>
      </c>
      <c r="C228" s="1559"/>
      <c r="D228" s="1559"/>
      <c r="E228" s="1559"/>
      <c r="F228" s="1559"/>
      <c r="G228" s="1559"/>
      <c r="H228" s="1559"/>
      <c r="I228" s="1559"/>
      <c r="J228" s="1559"/>
      <c r="K228" s="1559"/>
      <c r="L228" s="1559"/>
      <c r="M228" s="400"/>
      <c r="N228" s="343"/>
      <c r="O228" s="1558" t="s">
        <v>121</v>
      </c>
      <c r="P228" s="1559"/>
      <c r="Q228" s="1559"/>
      <c r="R228" s="1559"/>
      <c r="S228" s="1559"/>
      <c r="T228" s="1559"/>
      <c r="U228" s="1559"/>
      <c r="V228" s="1559"/>
      <c r="W228" s="1559"/>
      <c r="X228" s="1559"/>
      <c r="Y228" s="1559"/>
      <c r="Z228" s="400"/>
      <c r="AA228" s="343"/>
      <c r="AC228" s="1060" t="s">
        <v>276</v>
      </c>
      <c r="AD228" s="252" t="b">
        <f>INDEX(TECH_OPT_FUEL2_Cls2,MATCH(RIGHT(O227),TECH_OPT_ROWS_Cls2,0))&lt;&gt;"N/A"</f>
        <v>0</v>
      </c>
      <c r="AE228" s="1043"/>
      <c r="AF228" s="1043"/>
      <c r="AG228" s="1043"/>
      <c r="AH228" s="1043"/>
      <c r="AI228" s="1043"/>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2"/>
      <c r="AC229" s="1060" t="s">
        <v>277</v>
      </c>
      <c r="AD229" s="252">
        <f>MATCH(RIGHT(O227),TECH_OPT_ROWS_Cls2,0)</f>
        <v>5</v>
      </c>
      <c r="AE229" s="1043"/>
      <c r="AF229" s="1043"/>
      <c r="AG229" s="1043"/>
      <c r="AH229" s="1043"/>
      <c r="AI229" s="1043"/>
    </row>
    <row r="230" spans="1:39" ht="14.25" thickTop="1" thickBot="1" x14ac:dyDescent="0.25">
      <c r="A230" s="366" t="s">
        <v>124</v>
      </c>
      <c r="B230" s="358">
        <f t="array" ref="B230:L230">TRANSPOSE(Cls2CentTruckShr)</f>
        <v>3.9559734044076443E-2</v>
      </c>
      <c r="C230" s="359">
        <v>8.9650908809480775E-2</v>
      </c>
      <c r="D230" s="359">
        <v>9.1857251580802685E-2</v>
      </c>
      <c r="E230" s="359">
        <v>9.271536797287637E-2</v>
      </c>
      <c r="F230" s="359">
        <v>0.10920126324528824</v>
      </c>
      <c r="G230" s="359">
        <v>4.7813378096654632E-2</v>
      </c>
      <c r="H230" s="359">
        <v>5.2826626309680449E-2</v>
      </c>
      <c r="I230" s="359">
        <v>3.3324854637922362E-2</v>
      </c>
      <c r="J230" s="359">
        <v>1.4796369103015083E-2</v>
      </c>
      <c r="K230" s="359">
        <v>6.5522293759777608E-3</v>
      </c>
      <c r="L230" s="396">
        <v>1.1207747736094297E-2</v>
      </c>
      <c r="M230" s="402"/>
      <c r="N230" s="354"/>
      <c r="O230" s="358">
        <f t="array" ref="O230:Y230">TRANSPOSE(Cls2NCentTruckShr)</f>
        <v>4.6052840844996765E-2</v>
      </c>
      <c r="P230" s="359">
        <v>6.7033462620106746E-2</v>
      </c>
      <c r="Q230" s="359">
        <v>6.2316087841293416E-2</v>
      </c>
      <c r="R230" s="359">
        <v>6.9108422941336428E-2</v>
      </c>
      <c r="S230" s="359">
        <v>7.8222088301235171E-2</v>
      </c>
      <c r="T230" s="359">
        <v>3.5529474750239771E-2</v>
      </c>
      <c r="U230" s="359">
        <v>3.0248313910710867E-2</v>
      </c>
      <c r="V230" s="359">
        <v>8.2628405675757074E-3</v>
      </c>
      <c r="W230" s="359">
        <v>6.4250307191884484E-3</v>
      </c>
      <c r="X230" s="359">
        <v>1.9993158802676368E-3</v>
      </c>
      <c r="Y230" s="1317">
        <v>5.2963907111801883E-3</v>
      </c>
      <c r="Z230" s="1322"/>
      <c r="AA230" s="1323"/>
    </row>
    <row r="231" spans="1:39" x14ac:dyDescent="0.2">
      <c r="A231" s="349" t="s">
        <v>125</v>
      </c>
      <c r="B231" s="1029">
        <f t="array" ref="B231:L231">TRANSPOSE(Cls2CentVMTShr)</f>
        <v>6.3375455551975849E-3</v>
      </c>
      <c r="C231" s="1030">
        <v>3.496913005496359E-2</v>
      </c>
      <c r="D231" s="1030">
        <v>5.9955127131675522E-2</v>
      </c>
      <c r="E231" s="1030">
        <v>8.4599669387910512E-2</v>
      </c>
      <c r="F231" s="1030">
        <v>0.12702701008436962</v>
      </c>
      <c r="G231" s="1030">
        <v>6.7204731283582092E-2</v>
      </c>
      <c r="H231" s="1030">
        <v>8.8708982453757024E-2</v>
      </c>
      <c r="I231" s="1030">
        <v>6.4694225377098208E-2</v>
      </c>
      <c r="J231" s="1030">
        <v>3.2526447027526634E-2</v>
      </c>
      <c r="K231" s="1030">
        <v>1.589064319454132E-2</v>
      </c>
      <c r="L231" s="1318">
        <v>3.2608183213810787E-2</v>
      </c>
      <c r="M231" s="1319"/>
      <c r="N231" s="1320"/>
      <c r="O231" s="1029">
        <f t="array" ref="O231:Y231">TRANSPOSE(Cls2NCentVMTShr)</f>
        <v>8.1228463417563086E-3</v>
      </c>
      <c r="P231" s="1030">
        <v>2.7563836768431361E-2</v>
      </c>
      <c r="Q231" s="1030">
        <v>4.1883113088337191E-2</v>
      </c>
      <c r="R231" s="1030">
        <v>6.4289357588678764E-2</v>
      </c>
      <c r="S231" s="1030">
        <v>9.1183275251204537E-2</v>
      </c>
      <c r="T231" s="1030">
        <v>5.1984283219922628E-2</v>
      </c>
      <c r="U231" s="1030">
        <v>5.0286059545109812E-2</v>
      </c>
      <c r="V231" s="1030">
        <v>1.5542287574292338E-2</v>
      </c>
      <c r="W231" s="1030">
        <v>1.4506257462625264E-2</v>
      </c>
      <c r="X231" s="1030">
        <v>4.9330966304706684E-3</v>
      </c>
      <c r="Y231" s="1031">
        <v>1.5183891764738403E-2</v>
      </c>
      <c r="Z231" s="1319"/>
      <c r="AA231" s="1320"/>
      <c r="AB231" s="1574" t="str">
        <f>"% of miles on f2 for Tech "&amp; RIGHT(O226)&amp;" adopters"</f>
        <v>% of miles on f2 for Tech  adopters</v>
      </c>
      <c r="AC231" s="1575"/>
      <c r="AD231" s="1576"/>
      <c r="AE231" s="1043" t="s">
        <v>310</v>
      </c>
      <c r="AF231" s="1043"/>
      <c r="AG231" s="1043"/>
      <c r="AH231" s="1280" t="s">
        <v>311</v>
      </c>
      <c r="AI231" s="1043"/>
    </row>
    <row r="232" spans="1:39" ht="13.5" thickBot="1" x14ac:dyDescent="0.25">
      <c r="A232" s="1048" t="s">
        <v>275</v>
      </c>
      <c r="B232" s="1039">
        <f t="array" ref="B232:L232">TRANSPOSE(Cls2CentVMT/OPDAYS_Cls2)</f>
        <v>49.332453271995263</v>
      </c>
      <c r="C232" s="1040">
        <v>120.11441047790339</v>
      </c>
      <c r="D232" s="1040">
        <v>200.99157969807086</v>
      </c>
      <c r="E232" s="1040">
        <v>280.98421424125928</v>
      </c>
      <c r="F232" s="1040">
        <v>358.20644524895255</v>
      </c>
      <c r="G232" s="1040">
        <v>432.82805471770689</v>
      </c>
      <c r="H232" s="1040">
        <v>517.10615118099815</v>
      </c>
      <c r="I232" s="1040">
        <v>597.8087063838957</v>
      </c>
      <c r="J232" s="1040">
        <v>676.93419409560215</v>
      </c>
      <c r="K232" s="1040">
        <v>746.82245226325631</v>
      </c>
      <c r="L232" s="1041">
        <v>895.92826380844349</v>
      </c>
      <c r="M232" s="1037"/>
      <c r="N232" s="1038"/>
      <c r="O232" s="1039">
        <f t="array" ref="O232:Y232">TRANSPOSE(Cls2NCentVMT/OPDAYS_Cls2)</f>
        <v>54.31462614952413</v>
      </c>
      <c r="P232" s="1040">
        <v>126.62311644744663</v>
      </c>
      <c r="Q232" s="1040">
        <v>206.96826351576016</v>
      </c>
      <c r="R232" s="1040">
        <v>286.46600131499179</v>
      </c>
      <c r="S232" s="1040">
        <v>358.9638908170715</v>
      </c>
      <c r="T232" s="1040">
        <v>450.55545819643328</v>
      </c>
      <c r="U232" s="1040">
        <v>511.93098482414172</v>
      </c>
      <c r="V232" s="1040">
        <v>579.22933632093111</v>
      </c>
      <c r="W232" s="1040">
        <v>695.25665569614875</v>
      </c>
      <c r="X232" s="1040">
        <v>759.80682330760794</v>
      </c>
      <c r="Y232" s="1321">
        <v>882.81167173661356</v>
      </c>
      <c r="Z232" s="1049"/>
      <c r="AA232" s="1038"/>
      <c r="AB232" s="1051" t="s">
        <v>188</v>
      </c>
      <c r="AC232" s="1052" t="s">
        <v>15</v>
      </c>
      <c r="AD232" s="1053" t="s">
        <v>18</v>
      </c>
      <c r="AE232" s="1043" t="s">
        <v>188</v>
      </c>
      <c r="AF232" s="1043" t="s">
        <v>15</v>
      </c>
      <c r="AG232" s="1043" t="s">
        <v>18</v>
      </c>
      <c r="AH232" s="1280" t="s">
        <v>188</v>
      </c>
      <c r="AI232" s="1043" t="s">
        <v>15</v>
      </c>
      <c r="AJ232" s="341"/>
      <c r="AK232" s="341"/>
      <c r="AL232" s="341"/>
      <c r="AM232" s="341"/>
    </row>
    <row r="233" spans="1:39" ht="13.5" thickTop="1" x14ac:dyDescent="0.2">
      <c r="A233" s="344">
        <v>2007</v>
      </c>
      <c r="B233" s="360">
        <v>0</v>
      </c>
      <c r="C233" s="361">
        <v>0</v>
      </c>
      <c r="D233" s="361">
        <v>0</v>
      </c>
      <c r="E233" s="361">
        <v>0</v>
      </c>
      <c r="F233" s="361">
        <v>0</v>
      </c>
      <c r="G233" s="361">
        <v>0</v>
      </c>
      <c r="H233" s="361">
        <v>0</v>
      </c>
      <c r="I233" s="361">
        <v>0</v>
      </c>
      <c r="J233" s="361">
        <v>0</v>
      </c>
      <c r="K233" s="361">
        <v>0</v>
      </c>
      <c r="L233" s="397">
        <v>0</v>
      </c>
      <c r="M233" s="300">
        <f>SUMPRODUCT($B$178:$L$178,$B233:$L233)</f>
        <v>0</v>
      </c>
      <c r="N233" s="302">
        <f>SUMPRODUCT($B$177:$L$177,$B233:$L233)</f>
        <v>0</v>
      </c>
      <c r="O233" s="360">
        <v>0</v>
      </c>
      <c r="P233" s="361">
        <v>0</v>
      </c>
      <c r="Q233" s="361">
        <v>0</v>
      </c>
      <c r="R233" s="361">
        <v>0</v>
      </c>
      <c r="S233" s="361">
        <v>0</v>
      </c>
      <c r="T233" s="361">
        <v>0</v>
      </c>
      <c r="U233" s="361">
        <v>0</v>
      </c>
      <c r="V233" s="361">
        <v>0</v>
      </c>
      <c r="W233" s="361">
        <v>0</v>
      </c>
      <c r="X233" s="361">
        <v>0</v>
      </c>
      <c r="Y233" s="397">
        <v>0</v>
      </c>
      <c r="Z233" s="405">
        <f>SUMPRODUCT($O$178:$Y$178,$O233:$Y233)</f>
        <v>0</v>
      </c>
      <c r="AA233" s="302">
        <f>SUMPRODUCT($O$177:$Y$177,$O233:$Y233)</f>
        <v>0</v>
      </c>
      <c r="AB233" s="1054">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1055">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334">
        <f>AB233*AH233+AC233*AI233</f>
        <v>0</v>
      </c>
      <c r="AE233" s="1043">
        <f t="shared" ref="AE233:AE247" si="127">SUMPRODUCT($B$74:$L$74,B233:L233)</f>
        <v>0</v>
      </c>
      <c r="AF233" s="1043">
        <f t="shared" ref="AF233:AF247" si="128">SUMPRODUCT($O$74:$Y$74,O233:Y233)</f>
        <v>0</v>
      </c>
      <c r="AG233" s="1043">
        <f t="shared" ref="AG233:AG247" si="129">SUM(AE233:AF233)</f>
        <v>0</v>
      </c>
      <c r="AH233" s="1280">
        <f>IF(AG233&gt;0,AE233/AG233,0)</f>
        <v>0</v>
      </c>
      <c r="AI233" s="1043">
        <f>IF(AG233&gt;0,AF233/AG233,0)</f>
        <v>0</v>
      </c>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30">SUMPRODUCT($B$178:$L$178,$B234:$L234)</f>
        <v>0</v>
      </c>
      <c r="N234" s="316">
        <f t="shared" ref="N234:N276" si="131">SUMPRODUCT($B$177:$L$177,$B234:$L234)</f>
        <v>0</v>
      </c>
      <c r="O234" s="362">
        <v>0</v>
      </c>
      <c r="P234" s="363">
        <v>0</v>
      </c>
      <c r="Q234" s="363">
        <v>0</v>
      </c>
      <c r="R234" s="363">
        <v>0</v>
      </c>
      <c r="S234" s="363">
        <v>0</v>
      </c>
      <c r="T234" s="363">
        <v>0</v>
      </c>
      <c r="U234" s="363">
        <v>0</v>
      </c>
      <c r="V234" s="363">
        <v>0</v>
      </c>
      <c r="W234" s="363">
        <v>0</v>
      </c>
      <c r="X234" s="363">
        <v>0</v>
      </c>
      <c r="Y234" s="398">
        <v>0</v>
      </c>
      <c r="Z234" s="314">
        <f t="shared" ref="Z234:Z276" si="132">SUMPRODUCT($O$178:$Y$178,$O234:$Y234)</f>
        <v>0</v>
      </c>
      <c r="AA234" s="316">
        <f t="shared" ref="AA234:AA276" si="133">SUMPRODUCT($O$177:$Y$177,$O234:$Y234)</f>
        <v>0</v>
      </c>
      <c r="AB234" s="1054">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1055">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334">
        <f t="shared" ref="AD234:AD258" si="134">AB234*AH234+AC234*AI234</f>
        <v>0</v>
      </c>
      <c r="AE234" s="1043">
        <f t="shared" si="127"/>
        <v>0</v>
      </c>
      <c r="AF234" s="1043">
        <f t="shared" si="128"/>
        <v>0</v>
      </c>
      <c r="AG234" s="1043">
        <f t="shared" si="129"/>
        <v>0</v>
      </c>
      <c r="AH234" s="1280">
        <f t="shared" ref="AH234:AH275" si="135">IF(AG234&gt;0,AE234/AG234,0)</f>
        <v>0</v>
      </c>
      <c r="AI234" s="1043">
        <f t="shared" ref="AI234:AI275" si="136">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30"/>
        <v>0</v>
      </c>
      <c r="N235" s="316">
        <f t="shared" si="131"/>
        <v>0</v>
      </c>
      <c r="O235" s="362">
        <v>0</v>
      </c>
      <c r="P235" s="363">
        <v>0</v>
      </c>
      <c r="Q235" s="363">
        <v>0</v>
      </c>
      <c r="R235" s="363">
        <v>0</v>
      </c>
      <c r="S235" s="363">
        <v>0</v>
      </c>
      <c r="T235" s="363">
        <v>0</v>
      </c>
      <c r="U235" s="363">
        <v>0</v>
      </c>
      <c r="V235" s="363">
        <v>0</v>
      </c>
      <c r="W235" s="363">
        <v>0</v>
      </c>
      <c r="X235" s="363">
        <v>0</v>
      </c>
      <c r="Y235" s="398">
        <v>0</v>
      </c>
      <c r="Z235" s="314">
        <f t="shared" si="132"/>
        <v>0</v>
      </c>
      <c r="AA235" s="316">
        <f t="shared" si="133"/>
        <v>0</v>
      </c>
      <c r="AB235" s="1054">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1055">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334">
        <f t="shared" si="134"/>
        <v>0</v>
      </c>
      <c r="AE235" s="1043">
        <f t="shared" si="127"/>
        <v>0</v>
      </c>
      <c r="AF235" s="1043">
        <f t="shared" si="128"/>
        <v>0</v>
      </c>
      <c r="AG235" s="1043">
        <f t="shared" si="129"/>
        <v>0</v>
      </c>
      <c r="AH235" s="1280">
        <f t="shared" si="135"/>
        <v>0</v>
      </c>
      <c r="AI235" s="1043">
        <f t="shared" si="136"/>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30"/>
        <v>0</v>
      </c>
      <c r="N236" s="330">
        <f t="shared" si="131"/>
        <v>0</v>
      </c>
      <c r="O236" s="364">
        <v>0</v>
      </c>
      <c r="P236" s="365">
        <v>0</v>
      </c>
      <c r="Q236" s="365">
        <v>0</v>
      </c>
      <c r="R236" s="365">
        <v>0</v>
      </c>
      <c r="S236" s="365">
        <v>0</v>
      </c>
      <c r="T236" s="365">
        <v>0</v>
      </c>
      <c r="U236" s="365">
        <v>0</v>
      </c>
      <c r="V236" s="365">
        <v>0</v>
      </c>
      <c r="W236" s="365">
        <v>0</v>
      </c>
      <c r="X236" s="365">
        <v>0</v>
      </c>
      <c r="Y236" s="399">
        <v>0</v>
      </c>
      <c r="Z236" s="328">
        <f t="shared" si="132"/>
        <v>0</v>
      </c>
      <c r="AA236" s="330">
        <f t="shared" si="133"/>
        <v>0</v>
      </c>
      <c r="AB236" s="1054">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1055">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334">
        <f t="shared" si="134"/>
        <v>0</v>
      </c>
      <c r="AE236" s="1043">
        <f t="shared" si="127"/>
        <v>0</v>
      </c>
      <c r="AF236" s="1043">
        <f t="shared" si="128"/>
        <v>0</v>
      </c>
      <c r="AG236" s="1043">
        <f t="shared" si="129"/>
        <v>0</v>
      </c>
      <c r="AH236" s="1280">
        <f t="shared" si="135"/>
        <v>0</v>
      </c>
      <c r="AI236" s="1043">
        <f t="shared" si="136"/>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30"/>
        <v>0</v>
      </c>
      <c r="N237" s="302">
        <f t="shared" si="131"/>
        <v>0</v>
      </c>
      <c r="O237" s="360">
        <v>0</v>
      </c>
      <c r="P237" s="361">
        <v>0</v>
      </c>
      <c r="Q237" s="361">
        <v>0</v>
      </c>
      <c r="R237" s="361">
        <v>0</v>
      </c>
      <c r="S237" s="361">
        <v>0</v>
      </c>
      <c r="T237" s="361">
        <v>0</v>
      </c>
      <c r="U237" s="361">
        <v>0</v>
      </c>
      <c r="V237" s="361">
        <v>0</v>
      </c>
      <c r="W237" s="361">
        <v>0</v>
      </c>
      <c r="X237" s="361">
        <v>0</v>
      </c>
      <c r="Y237" s="397">
        <v>0</v>
      </c>
      <c r="Z237" s="300">
        <f t="shared" si="132"/>
        <v>0</v>
      </c>
      <c r="AA237" s="302">
        <f t="shared" si="133"/>
        <v>0</v>
      </c>
      <c r="AB237" s="1054">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1055">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334">
        <f t="shared" si="134"/>
        <v>0</v>
      </c>
      <c r="AE237" s="1043">
        <f t="shared" si="127"/>
        <v>0</v>
      </c>
      <c r="AF237" s="1043">
        <f t="shared" si="128"/>
        <v>0</v>
      </c>
      <c r="AG237" s="1043">
        <f t="shared" si="129"/>
        <v>0</v>
      </c>
      <c r="AH237" s="1280">
        <f t="shared" si="135"/>
        <v>0</v>
      </c>
      <c r="AI237" s="1043">
        <f t="shared" si="136"/>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30"/>
        <v>0</v>
      </c>
      <c r="N238" s="316">
        <f t="shared" si="131"/>
        <v>0</v>
      </c>
      <c r="O238" s="362">
        <v>0</v>
      </c>
      <c r="P238" s="363">
        <v>0</v>
      </c>
      <c r="Q238" s="363">
        <v>0</v>
      </c>
      <c r="R238" s="363">
        <v>0</v>
      </c>
      <c r="S238" s="363">
        <v>0</v>
      </c>
      <c r="T238" s="363">
        <v>0</v>
      </c>
      <c r="U238" s="363">
        <v>0</v>
      </c>
      <c r="V238" s="363">
        <v>0</v>
      </c>
      <c r="W238" s="363">
        <v>0</v>
      </c>
      <c r="X238" s="363">
        <v>0</v>
      </c>
      <c r="Y238" s="398">
        <v>0</v>
      </c>
      <c r="Z238" s="314">
        <f t="shared" si="132"/>
        <v>0</v>
      </c>
      <c r="AA238" s="316">
        <f t="shared" si="133"/>
        <v>0</v>
      </c>
      <c r="AB238" s="1054">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1055">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334">
        <f t="shared" si="134"/>
        <v>0</v>
      </c>
      <c r="AE238" s="1043">
        <f t="shared" si="127"/>
        <v>0</v>
      </c>
      <c r="AF238" s="1043">
        <f t="shared" si="128"/>
        <v>0</v>
      </c>
      <c r="AG238" s="1043">
        <f t="shared" si="129"/>
        <v>0</v>
      </c>
      <c r="AH238" s="1280">
        <f t="shared" si="135"/>
        <v>0</v>
      </c>
      <c r="AI238" s="1043">
        <f t="shared" si="136"/>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30"/>
        <v>0</v>
      </c>
      <c r="N239" s="316">
        <f t="shared" si="131"/>
        <v>0</v>
      </c>
      <c r="O239" s="362">
        <v>0</v>
      </c>
      <c r="P239" s="363">
        <v>0</v>
      </c>
      <c r="Q239" s="363">
        <v>0</v>
      </c>
      <c r="R239" s="363">
        <v>0</v>
      </c>
      <c r="S239" s="363">
        <v>0</v>
      </c>
      <c r="T239" s="363">
        <v>0</v>
      </c>
      <c r="U239" s="363">
        <v>0</v>
      </c>
      <c r="V239" s="363">
        <v>0</v>
      </c>
      <c r="W239" s="363">
        <v>0</v>
      </c>
      <c r="X239" s="363">
        <v>0</v>
      </c>
      <c r="Y239" s="398">
        <v>0</v>
      </c>
      <c r="Z239" s="314">
        <f t="shared" si="132"/>
        <v>0</v>
      </c>
      <c r="AA239" s="316">
        <f t="shared" si="133"/>
        <v>0</v>
      </c>
      <c r="AB239" s="1054">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1055">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334">
        <f t="shared" si="134"/>
        <v>0</v>
      </c>
      <c r="AE239" s="1043">
        <f t="shared" si="127"/>
        <v>0</v>
      </c>
      <c r="AF239" s="1043">
        <f t="shared" si="128"/>
        <v>0</v>
      </c>
      <c r="AG239" s="1043">
        <f t="shared" si="129"/>
        <v>0</v>
      </c>
      <c r="AH239" s="1280">
        <f t="shared" si="135"/>
        <v>0</v>
      </c>
      <c r="AI239" s="1043">
        <f t="shared" si="136"/>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30"/>
        <v>0</v>
      </c>
      <c r="N240" s="316">
        <f t="shared" si="131"/>
        <v>0</v>
      </c>
      <c r="O240" s="362">
        <v>0</v>
      </c>
      <c r="P240" s="363">
        <v>0</v>
      </c>
      <c r="Q240" s="363">
        <v>0</v>
      </c>
      <c r="R240" s="363">
        <v>0</v>
      </c>
      <c r="S240" s="363">
        <v>0</v>
      </c>
      <c r="T240" s="363">
        <v>0</v>
      </c>
      <c r="U240" s="363">
        <v>0</v>
      </c>
      <c r="V240" s="363">
        <v>0</v>
      </c>
      <c r="W240" s="363">
        <v>0</v>
      </c>
      <c r="X240" s="363">
        <v>0</v>
      </c>
      <c r="Y240" s="398">
        <v>0</v>
      </c>
      <c r="Z240" s="314">
        <f t="shared" si="132"/>
        <v>0</v>
      </c>
      <c r="AA240" s="316">
        <f t="shared" si="133"/>
        <v>0</v>
      </c>
      <c r="AB240" s="1054">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1055">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334">
        <f t="shared" si="134"/>
        <v>0</v>
      </c>
      <c r="AE240" s="1043">
        <f t="shared" si="127"/>
        <v>0</v>
      </c>
      <c r="AF240" s="1043">
        <f t="shared" si="128"/>
        <v>0</v>
      </c>
      <c r="AG240" s="1043">
        <f t="shared" si="129"/>
        <v>0</v>
      </c>
      <c r="AH240" s="1280">
        <f t="shared" si="135"/>
        <v>0</v>
      </c>
      <c r="AI240" s="1043">
        <f t="shared" si="136"/>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30"/>
        <v>0</v>
      </c>
      <c r="N241" s="330">
        <f t="shared" si="131"/>
        <v>0</v>
      </c>
      <c r="O241" s="364">
        <v>0</v>
      </c>
      <c r="P241" s="365">
        <v>0</v>
      </c>
      <c r="Q241" s="365">
        <v>0</v>
      </c>
      <c r="R241" s="365">
        <v>0</v>
      </c>
      <c r="S241" s="365">
        <v>0</v>
      </c>
      <c r="T241" s="365">
        <v>0</v>
      </c>
      <c r="U241" s="365">
        <v>0</v>
      </c>
      <c r="V241" s="365">
        <v>0</v>
      </c>
      <c r="W241" s="365">
        <v>0</v>
      </c>
      <c r="X241" s="365">
        <v>0</v>
      </c>
      <c r="Y241" s="399">
        <v>0</v>
      </c>
      <c r="Z241" s="328">
        <f t="shared" si="132"/>
        <v>0</v>
      </c>
      <c r="AA241" s="330">
        <f t="shared" si="133"/>
        <v>0</v>
      </c>
      <c r="AB241" s="1054">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1055">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334">
        <f t="shared" si="134"/>
        <v>0</v>
      </c>
      <c r="AE241" s="1043">
        <f t="shared" si="127"/>
        <v>0</v>
      </c>
      <c r="AF241" s="1043">
        <f t="shared" si="128"/>
        <v>0</v>
      </c>
      <c r="AG241" s="1043">
        <f t="shared" si="129"/>
        <v>0</v>
      </c>
      <c r="AH241" s="1280">
        <f t="shared" si="135"/>
        <v>0</v>
      </c>
      <c r="AI241" s="1043">
        <f t="shared" si="136"/>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30"/>
        <v>0</v>
      </c>
      <c r="N242" s="302">
        <f t="shared" si="131"/>
        <v>0</v>
      </c>
      <c r="O242" s="360">
        <v>0</v>
      </c>
      <c r="P242" s="361">
        <v>0</v>
      </c>
      <c r="Q242" s="361">
        <v>0</v>
      </c>
      <c r="R242" s="361">
        <v>0</v>
      </c>
      <c r="S242" s="361">
        <v>0</v>
      </c>
      <c r="T242" s="361">
        <v>0</v>
      </c>
      <c r="U242" s="361">
        <v>0</v>
      </c>
      <c r="V242" s="361">
        <v>0</v>
      </c>
      <c r="W242" s="361">
        <v>0</v>
      </c>
      <c r="X242" s="361">
        <v>0</v>
      </c>
      <c r="Y242" s="397">
        <v>0</v>
      </c>
      <c r="Z242" s="300">
        <f t="shared" si="132"/>
        <v>0</v>
      </c>
      <c r="AA242" s="302">
        <f t="shared" si="133"/>
        <v>0</v>
      </c>
      <c r="AB242" s="1054">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1055">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334">
        <f t="shared" si="134"/>
        <v>0</v>
      </c>
      <c r="AE242" s="1043">
        <f t="shared" si="127"/>
        <v>0</v>
      </c>
      <c r="AF242" s="1043">
        <f t="shared" si="128"/>
        <v>0</v>
      </c>
      <c r="AG242" s="1043">
        <f t="shared" si="129"/>
        <v>0</v>
      </c>
      <c r="AH242" s="1280">
        <f t="shared" si="135"/>
        <v>0</v>
      </c>
      <c r="AI242" s="1043">
        <f t="shared" si="136"/>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30"/>
        <v>0</v>
      </c>
      <c r="N243" s="316">
        <f t="shared" si="131"/>
        <v>0</v>
      </c>
      <c r="O243" s="362">
        <v>0</v>
      </c>
      <c r="P243" s="363">
        <v>0</v>
      </c>
      <c r="Q243" s="363">
        <v>0</v>
      </c>
      <c r="R243" s="363">
        <v>0</v>
      </c>
      <c r="S243" s="363">
        <v>0</v>
      </c>
      <c r="T243" s="363">
        <v>0</v>
      </c>
      <c r="U243" s="363">
        <v>0</v>
      </c>
      <c r="V243" s="363">
        <v>0</v>
      </c>
      <c r="W243" s="363">
        <v>0</v>
      </c>
      <c r="X243" s="363">
        <v>0</v>
      </c>
      <c r="Y243" s="398">
        <v>0</v>
      </c>
      <c r="Z243" s="314">
        <f t="shared" si="132"/>
        <v>0</v>
      </c>
      <c r="AA243" s="316">
        <f t="shared" si="133"/>
        <v>0</v>
      </c>
      <c r="AB243" s="1054">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1055">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334">
        <f t="shared" si="134"/>
        <v>0</v>
      </c>
      <c r="AE243" s="1043">
        <f t="shared" si="127"/>
        <v>0</v>
      </c>
      <c r="AF243" s="1043">
        <f t="shared" si="128"/>
        <v>0</v>
      </c>
      <c r="AG243" s="1043">
        <f t="shared" si="129"/>
        <v>0</v>
      </c>
      <c r="AH243" s="1280">
        <f t="shared" si="135"/>
        <v>0</v>
      </c>
      <c r="AI243" s="1043">
        <f t="shared" si="136"/>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30"/>
        <v>0</v>
      </c>
      <c r="N244" s="316">
        <f t="shared" si="131"/>
        <v>0</v>
      </c>
      <c r="O244" s="362">
        <v>0</v>
      </c>
      <c r="P244" s="363">
        <v>0</v>
      </c>
      <c r="Q244" s="363">
        <v>0</v>
      </c>
      <c r="R244" s="363">
        <v>0</v>
      </c>
      <c r="S244" s="363">
        <v>0</v>
      </c>
      <c r="T244" s="363">
        <v>0</v>
      </c>
      <c r="U244" s="363">
        <v>0</v>
      </c>
      <c r="V244" s="363">
        <v>0</v>
      </c>
      <c r="W244" s="363">
        <v>0</v>
      </c>
      <c r="X244" s="363">
        <v>0</v>
      </c>
      <c r="Y244" s="398">
        <v>0</v>
      </c>
      <c r="Z244" s="314">
        <f t="shared" si="132"/>
        <v>0</v>
      </c>
      <c r="AA244" s="316">
        <f t="shared" si="133"/>
        <v>0</v>
      </c>
      <c r="AB244" s="1054">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1055">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334">
        <f t="shared" si="134"/>
        <v>0</v>
      </c>
      <c r="AE244" s="1043">
        <f t="shared" si="127"/>
        <v>0</v>
      </c>
      <c r="AF244" s="1043">
        <f t="shared" si="128"/>
        <v>0</v>
      </c>
      <c r="AG244" s="1043">
        <f t="shared" si="129"/>
        <v>0</v>
      </c>
      <c r="AH244" s="1280">
        <f t="shared" si="135"/>
        <v>0</v>
      </c>
      <c r="AI244" s="1043">
        <f t="shared" si="136"/>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30"/>
        <v>0</v>
      </c>
      <c r="N245" s="316">
        <f t="shared" si="131"/>
        <v>0</v>
      </c>
      <c r="O245" s="362">
        <v>0</v>
      </c>
      <c r="P245" s="363">
        <v>0</v>
      </c>
      <c r="Q245" s="363">
        <v>0</v>
      </c>
      <c r="R245" s="363">
        <v>0</v>
      </c>
      <c r="S245" s="363">
        <v>0</v>
      </c>
      <c r="T245" s="363">
        <v>0</v>
      </c>
      <c r="U245" s="363">
        <v>0</v>
      </c>
      <c r="V245" s="363">
        <v>0</v>
      </c>
      <c r="W245" s="363">
        <v>0</v>
      </c>
      <c r="X245" s="363">
        <v>0</v>
      </c>
      <c r="Y245" s="398">
        <v>0</v>
      </c>
      <c r="Z245" s="314">
        <f t="shared" si="132"/>
        <v>0</v>
      </c>
      <c r="AA245" s="316">
        <f t="shared" si="133"/>
        <v>0</v>
      </c>
      <c r="AB245" s="1054">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1055">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334">
        <f t="shared" si="134"/>
        <v>0</v>
      </c>
      <c r="AE245" s="1043">
        <f t="shared" si="127"/>
        <v>0</v>
      </c>
      <c r="AF245" s="1043">
        <f t="shared" si="128"/>
        <v>0</v>
      </c>
      <c r="AG245" s="1043">
        <f t="shared" si="129"/>
        <v>0</v>
      </c>
      <c r="AH245" s="1280">
        <f t="shared" si="135"/>
        <v>0</v>
      </c>
      <c r="AI245" s="1043">
        <f t="shared" si="136"/>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30"/>
        <v>0</v>
      </c>
      <c r="N246" s="330">
        <f t="shared" si="131"/>
        <v>0</v>
      </c>
      <c r="O246" s="364">
        <v>0</v>
      </c>
      <c r="P246" s="365">
        <v>0</v>
      </c>
      <c r="Q246" s="365">
        <v>0</v>
      </c>
      <c r="R246" s="365">
        <v>0</v>
      </c>
      <c r="S246" s="365">
        <v>0</v>
      </c>
      <c r="T246" s="365">
        <v>0</v>
      </c>
      <c r="U246" s="365">
        <v>0</v>
      </c>
      <c r="V246" s="365">
        <v>0</v>
      </c>
      <c r="W246" s="365">
        <v>0</v>
      </c>
      <c r="X246" s="365">
        <v>0</v>
      </c>
      <c r="Y246" s="399">
        <v>0</v>
      </c>
      <c r="Z246" s="328">
        <f t="shared" si="132"/>
        <v>0</v>
      </c>
      <c r="AA246" s="330">
        <f t="shared" si="133"/>
        <v>0</v>
      </c>
      <c r="AB246" s="1054">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1055">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334">
        <f t="shared" si="134"/>
        <v>0</v>
      </c>
      <c r="AE246" s="1043">
        <f t="shared" si="127"/>
        <v>0</v>
      </c>
      <c r="AF246" s="1043">
        <f t="shared" si="128"/>
        <v>0</v>
      </c>
      <c r="AG246" s="1043">
        <f t="shared" si="129"/>
        <v>0</v>
      </c>
      <c r="AH246" s="1280">
        <f t="shared" si="135"/>
        <v>0</v>
      </c>
      <c r="AI246" s="1043">
        <f t="shared" si="136"/>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30"/>
        <v>0</v>
      </c>
      <c r="N247" s="302">
        <f t="shared" si="131"/>
        <v>0</v>
      </c>
      <c r="O247" s="360">
        <v>0</v>
      </c>
      <c r="P247" s="361">
        <v>0</v>
      </c>
      <c r="Q247" s="361">
        <v>0</v>
      </c>
      <c r="R247" s="361">
        <v>0</v>
      </c>
      <c r="S247" s="361">
        <v>0</v>
      </c>
      <c r="T247" s="361">
        <v>0</v>
      </c>
      <c r="U247" s="361">
        <v>0</v>
      </c>
      <c r="V247" s="361">
        <v>0</v>
      </c>
      <c r="W247" s="361">
        <v>0</v>
      </c>
      <c r="X247" s="361">
        <v>0</v>
      </c>
      <c r="Y247" s="397">
        <v>0</v>
      </c>
      <c r="Z247" s="300">
        <f t="shared" si="132"/>
        <v>0</v>
      </c>
      <c r="AA247" s="302">
        <f t="shared" si="133"/>
        <v>0</v>
      </c>
      <c r="AB247" s="1054">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1055">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334">
        <f t="shared" si="134"/>
        <v>0</v>
      </c>
      <c r="AE247" s="1043">
        <f t="shared" si="127"/>
        <v>0</v>
      </c>
      <c r="AF247" s="1043">
        <f t="shared" si="128"/>
        <v>0</v>
      </c>
      <c r="AG247" s="1043">
        <f t="shared" si="129"/>
        <v>0</v>
      </c>
      <c r="AH247" s="1280">
        <f t="shared" si="135"/>
        <v>0</v>
      </c>
      <c r="AI247" s="1043">
        <f t="shared" si="136"/>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30"/>
        <v>0</v>
      </c>
      <c r="N248" s="316">
        <f t="shared" si="131"/>
        <v>0</v>
      </c>
      <c r="O248" s="362">
        <v>0</v>
      </c>
      <c r="P248" s="363">
        <v>0</v>
      </c>
      <c r="Q248" s="363">
        <v>0</v>
      </c>
      <c r="R248" s="363">
        <v>0</v>
      </c>
      <c r="S248" s="363">
        <v>0</v>
      </c>
      <c r="T248" s="363">
        <v>0</v>
      </c>
      <c r="U248" s="363">
        <v>0</v>
      </c>
      <c r="V248" s="363">
        <v>0</v>
      </c>
      <c r="W248" s="363">
        <v>0</v>
      </c>
      <c r="X248" s="363">
        <v>0</v>
      </c>
      <c r="Y248" s="398">
        <v>0</v>
      </c>
      <c r="Z248" s="314">
        <f t="shared" si="132"/>
        <v>0</v>
      </c>
      <c r="AA248" s="316">
        <f t="shared" si="133"/>
        <v>0</v>
      </c>
      <c r="AB248" s="1054">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1055">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334">
        <f t="shared" si="134"/>
        <v>0</v>
      </c>
      <c r="AE248" s="1043">
        <f>SUMPRODUCT($B$74:$L$74,B248:L248)</f>
        <v>0</v>
      </c>
      <c r="AF248" s="1043">
        <f>SUMPRODUCT($O$74:$Y$74,O248:Y248)</f>
        <v>0</v>
      </c>
      <c r="AG248" s="1043">
        <f>SUM(AE248:AF248)</f>
        <v>0</v>
      </c>
      <c r="AH248" s="1280">
        <f t="shared" si="135"/>
        <v>0</v>
      </c>
      <c r="AI248" s="1043">
        <f t="shared" si="136"/>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30"/>
        <v>0</v>
      </c>
      <c r="N249" s="316">
        <f t="shared" si="131"/>
        <v>0</v>
      </c>
      <c r="O249" s="362">
        <v>0</v>
      </c>
      <c r="P249" s="363">
        <v>0</v>
      </c>
      <c r="Q249" s="363">
        <v>0</v>
      </c>
      <c r="R249" s="363">
        <v>0</v>
      </c>
      <c r="S249" s="363">
        <v>0</v>
      </c>
      <c r="T249" s="363">
        <v>0</v>
      </c>
      <c r="U249" s="363">
        <v>0</v>
      </c>
      <c r="V249" s="363">
        <v>0</v>
      </c>
      <c r="W249" s="363">
        <v>0</v>
      </c>
      <c r="X249" s="363">
        <v>0</v>
      </c>
      <c r="Y249" s="398">
        <v>0</v>
      </c>
      <c r="Z249" s="314">
        <f t="shared" si="132"/>
        <v>0</v>
      </c>
      <c r="AA249" s="316">
        <f t="shared" si="133"/>
        <v>0</v>
      </c>
      <c r="AB249" s="1054">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1055">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334">
        <f t="shared" si="134"/>
        <v>0</v>
      </c>
      <c r="AE249" s="1043">
        <f t="shared" ref="AE249:AE275" si="137">SUMPRODUCT($B$74:$L$74,B249:L249)</f>
        <v>0</v>
      </c>
      <c r="AF249" s="1043">
        <f t="shared" ref="AF249:AF275" si="138">SUMPRODUCT($O$74:$Y$74,O249:Y249)</f>
        <v>0</v>
      </c>
      <c r="AG249" s="1043">
        <f t="shared" ref="AG249:AG275" si="139">SUM(AE249:AF249)</f>
        <v>0</v>
      </c>
      <c r="AH249" s="1280">
        <f t="shared" si="135"/>
        <v>0</v>
      </c>
      <c r="AI249" s="1043">
        <f t="shared" si="136"/>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30"/>
        <v>0</v>
      </c>
      <c r="N250" s="316">
        <f t="shared" si="131"/>
        <v>0</v>
      </c>
      <c r="O250" s="362">
        <v>0</v>
      </c>
      <c r="P250" s="363">
        <v>0</v>
      </c>
      <c r="Q250" s="363">
        <v>0</v>
      </c>
      <c r="R250" s="363">
        <v>0</v>
      </c>
      <c r="S250" s="363">
        <v>0</v>
      </c>
      <c r="T250" s="363">
        <v>0</v>
      </c>
      <c r="U250" s="363">
        <v>0</v>
      </c>
      <c r="V250" s="363">
        <v>0</v>
      </c>
      <c r="W250" s="363">
        <v>0</v>
      </c>
      <c r="X250" s="363">
        <v>0</v>
      </c>
      <c r="Y250" s="398">
        <v>0</v>
      </c>
      <c r="Z250" s="314">
        <f t="shared" si="132"/>
        <v>0</v>
      </c>
      <c r="AA250" s="316">
        <f t="shared" si="133"/>
        <v>0</v>
      </c>
      <c r="AB250" s="1054">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1055">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334">
        <f t="shared" si="134"/>
        <v>0</v>
      </c>
      <c r="AE250" s="1043">
        <f t="shared" si="137"/>
        <v>0</v>
      </c>
      <c r="AF250" s="1043">
        <f t="shared" si="138"/>
        <v>0</v>
      </c>
      <c r="AG250" s="1043">
        <f t="shared" si="139"/>
        <v>0</v>
      </c>
      <c r="AH250" s="1280">
        <f t="shared" si="135"/>
        <v>0</v>
      </c>
      <c r="AI250" s="1043">
        <f t="shared" si="136"/>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30"/>
        <v>0</v>
      </c>
      <c r="N251" s="330">
        <f t="shared" si="131"/>
        <v>0</v>
      </c>
      <c r="O251" s="364">
        <v>0</v>
      </c>
      <c r="P251" s="365">
        <v>0</v>
      </c>
      <c r="Q251" s="365">
        <v>0</v>
      </c>
      <c r="R251" s="365">
        <v>0</v>
      </c>
      <c r="S251" s="365">
        <v>0</v>
      </c>
      <c r="T251" s="365">
        <v>0</v>
      </c>
      <c r="U251" s="365">
        <v>0</v>
      </c>
      <c r="V251" s="365">
        <v>0</v>
      </c>
      <c r="W251" s="365">
        <v>0</v>
      </c>
      <c r="X251" s="365">
        <v>0</v>
      </c>
      <c r="Y251" s="399">
        <v>0</v>
      </c>
      <c r="Z251" s="328">
        <f t="shared" si="132"/>
        <v>0</v>
      </c>
      <c r="AA251" s="330">
        <f t="shared" si="133"/>
        <v>0</v>
      </c>
      <c r="AB251" s="1054">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1055">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334">
        <f t="shared" si="134"/>
        <v>0</v>
      </c>
      <c r="AE251" s="1043">
        <f t="shared" si="137"/>
        <v>0</v>
      </c>
      <c r="AF251" s="1043">
        <f t="shared" si="138"/>
        <v>0</v>
      </c>
      <c r="AG251" s="1043">
        <f t="shared" si="139"/>
        <v>0</v>
      </c>
      <c r="AH251" s="1280">
        <f t="shared" si="135"/>
        <v>0</v>
      </c>
      <c r="AI251" s="1043">
        <f t="shared" si="136"/>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30"/>
        <v>0</v>
      </c>
      <c r="N252" s="302">
        <f t="shared" si="131"/>
        <v>0</v>
      </c>
      <c r="O252" s="360">
        <v>0</v>
      </c>
      <c r="P252" s="361">
        <v>0</v>
      </c>
      <c r="Q252" s="361">
        <v>0</v>
      </c>
      <c r="R252" s="361">
        <v>0</v>
      </c>
      <c r="S252" s="361">
        <v>0</v>
      </c>
      <c r="T252" s="361">
        <v>0</v>
      </c>
      <c r="U252" s="361">
        <v>0</v>
      </c>
      <c r="V252" s="361">
        <v>0</v>
      </c>
      <c r="W252" s="361">
        <v>0</v>
      </c>
      <c r="X252" s="361">
        <v>0</v>
      </c>
      <c r="Y252" s="397">
        <v>0</v>
      </c>
      <c r="Z252" s="300">
        <f t="shared" si="132"/>
        <v>0</v>
      </c>
      <c r="AA252" s="302">
        <f t="shared" si="133"/>
        <v>0</v>
      </c>
      <c r="AB252" s="1054">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1055">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334">
        <f t="shared" si="134"/>
        <v>0</v>
      </c>
      <c r="AE252" s="1043">
        <f t="shared" si="137"/>
        <v>0</v>
      </c>
      <c r="AF252" s="1043">
        <f t="shared" si="138"/>
        <v>0</v>
      </c>
      <c r="AG252" s="1043">
        <f t="shared" si="139"/>
        <v>0</v>
      </c>
      <c r="AH252" s="1280">
        <f t="shared" si="135"/>
        <v>0</v>
      </c>
      <c r="AI252" s="1043">
        <f t="shared" si="136"/>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30"/>
        <v>0</v>
      </c>
      <c r="N253" s="316">
        <f t="shared" si="131"/>
        <v>0</v>
      </c>
      <c r="O253" s="362">
        <v>0</v>
      </c>
      <c r="P253" s="363">
        <v>0</v>
      </c>
      <c r="Q253" s="363">
        <v>0</v>
      </c>
      <c r="R253" s="363">
        <v>0</v>
      </c>
      <c r="S253" s="363">
        <v>0</v>
      </c>
      <c r="T253" s="363">
        <v>0</v>
      </c>
      <c r="U253" s="363">
        <v>0</v>
      </c>
      <c r="V253" s="363">
        <v>0</v>
      </c>
      <c r="W253" s="363">
        <v>0</v>
      </c>
      <c r="X253" s="363">
        <v>0</v>
      </c>
      <c r="Y253" s="398">
        <v>0</v>
      </c>
      <c r="Z253" s="314">
        <f t="shared" si="132"/>
        <v>0</v>
      </c>
      <c r="AA253" s="316">
        <f t="shared" si="133"/>
        <v>0</v>
      </c>
      <c r="AB253" s="1054">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1055">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334">
        <f t="shared" si="134"/>
        <v>0</v>
      </c>
      <c r="AE253" s="1043">
        <f t="shared" si="137"/>
        <v>0</v>
      </c>
      <c r="AF253" s="1043">
        <f t="shared" si="138"/>
        <v>0</v>
      </c>
      <c r="AG253" s="1043">
        <f t="shared" si="139"/>
        <v>0</v>
      </c>
      <c r="AH253" s="1280">
        <f t="shared" si="135"/>
        <v>0</v>
      </c>
      <c r="AI253" s="1043">
        <f t="shared" si="136"/>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30"/>
        <v>0</v>
      </c>
      <c r="N254" s="316">
        <f t="shared" si="131"/>
        <v>0</v>
      </c>
      <c r="O254" s="362">
        <v>0</v>
      </c>
      <c r="P254" s="363">
        <v>0</v>
      </c>
      <c r="Q254" s="363">
        <v>0</v>
      </c>
      <c r="R254" s="363">
        <v>0</v>
      </c>
      <c r="S254" s="363">
        <v>0</v>
      </c>
      <c r="T254" s="363">
        <v>0</v>
      </c>
      <c r="U254" s="363">
        <v>0</v>
      </c>
      <c r="V254" s="363">
        <v>0</v>
      </c>
      <c r="W254" s="363">
        <v>0</v>
      </c>
      <c r="X254" s="363">
        <v>0</v>
      </c>
      <c r="Y254" s="398">
        <v>0</v>
      </c>
      <c r="Z254" s="314">
        <f t="shared" si="132"/>
        <v>0</v>
      </c>
      <c r="AA254" s="316">
        <f t="shared" si="133"/>
        <v>0</v>
      </c>
      <c r="AB254" s="1054">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1055">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334">
        <f t="shared" si="134"/>
        <v>0</v>
      </c>
      <c r="AE254" s="1043">
        <f t="shared" si="137"/>
        <v>0</v>
      </c>
      <c r="AF254" s="1043">
        <f t="shared" si="138"/>
        <v>0</v>
      </c>
      <c r="AG254" s="1043">
        <f t="shared" si="139"/>
        <v>0</v>
      </c>
      <c r="AH254" s="1280">
        <f t="shared" si="135"/>
        <v>0</v>
      </c>
      <c r="AI254" s="1043">
        <f t="shared" si="136"/>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30"/>
        <v>0</v>
      </c>
      <c r="N255" s="316">
        <f t="shared" si="131"/>
        <v>0</v>
      </c>
      <c r="O255" s="362">
        <v>0</v>
      </c>
      <c r="P255" s="363">
        <v>0</v>
      </c>
      <c r="Q255" s="363">
        <v>0</v>
      </c>
      <c r="R255" s="363">
        <v>0</v>
      </c>
      <c r="S255" s="363">
        <v>0</v>
      </c>
      <c r="T255" s="363">
        <v>0</v>
      </c>
      <c r="U255" s="363">
        <v>0</v>
      </c>
      <c r="V255" s="363">
        <v>0</v>
      </c>
      <c r="W255" s="363">
        <v>0</v>
      </c>
      <c r="X255" s="363">
        <v>0</v>
      </c>
      <c r="Y255" s="398">
        <v>0</v>
      </c>
      <c r="Z255" s="314">
        <f t="shared" si="132"/>
        <v>0</v>
      </c>
      <c r="AA255" s="316">
        <f t="shared" si="133"/>
        <v>0</v>
      </c>
      <c r="AB255" s="1054">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1055">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334">
        <f t="shared" si="134"/>
        <v>0</v>
      </c>
      <c r="AE255" s="1043">
        <f t="shared" si="137"/>
        <v>0</v>
      </c>
      <c r="AF255" s="1043">
        <f t="shared" si="138"/>
        <v>0</v>
      </c>
      <c r="AG255" s="1043">
        <f t="shared" si="139"/>
        <v>0</v>
      </c>
      <c r="AH255" s="1280">
        <f t="shared" si="135"/>
        <v>0</v>
      </c>
      <c r="AI255" s="1043">
        <f t="shared" si="136"/>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30"/>
        <v>0</v>
      </c>
      <c r="N256" s="330">
        <f t="shared" si="131"/>
        <v>0</v>
      </c>
      <c r="O256" s="364">
        <v>0</v>
      </c>
      <c r="P256" s="365">
        <v>0</v>
      </c>
      <c r="Q256" s="365">
        <v>0</v>
      </c>
      <c r="R256" s="365">
        <v>0</v>
      </c>
      <c r="S256" s="365">
        <v>0</v>
      </c>
      <c r="T256" s="365">
        <v>0</v>
      </c>
      <c r="U256" s="365">
        <v>0</v>
      </c>
      <c r="V256" s="365">
        <v>0</v>
      </c>
      <c r="W256" s="365">
        <v>0</v>
      </c>
      <c r="X256" s="365">
        <v>0</v>
      </c>
      <c r="Y256" s="399">
        <v>0</v>
      </c>
      <c r="Z256" s="328">
        <f t="shared" si="132"/>
        <v>0</v>
      </c>
      <c r="AA256" s="330">
        <f t="shared" si="133"/>
        <v>0</v>
      </c>
      <c r="AB256" s="1054">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1055">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334">
        <f t="shared" si="134"/>
        <v>0</v>
      </c>
      <c r="AE256" s="1043">
        <f t="shared" si="137"/>
        <v>0</v>
      </c>
      <c r="AF256" s="1043">
        <f t="shared" si="138"/>
        <v>0</v>
      </c>
      <c r="AG256" s="1043">
        <f t="shared" si="139"/>
        <v>0</v>
      </c>
      <c r="AH256" s="1280">
        <f t="shared" si="135"/>
        <v>0</v>
      </c>
      <c r="AI256" s="1043">
        <f t="shared" si="136"/>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30"/>
        <v>0</v>
      </c>
      <c r="N257" s="302">
        <f t="shared" si="131"/>
        <v>0</v>
      </c>
      <c r="O257" s="360">
        <v>0</v>
      </c>
      <c r="P257" s="361">
        <v>0</v>
      </c>
      <c r="Q257" s="361">
        <v>0</v>
      </c>
      <c r="R257" s="361">
        <v>0</v>
      </c>
      <c r="S257" s="361">
        <v>0</v>
      </c>
      <c r="T257" s="361">
        <v>0</v>
      </c>
      <c r="U257" s="361">
        <v>0</v>
      </c>
      <c r="V257" s="361">
        <v>0</v>
      </c>
      <c r="W257" s="361">
        <v>0</v>
      </c>
      <c r="X257" s="361">
        <v>0</v>
      </c>
      <c r="Y257" s="397">
        <v>0</v>
      </c>
      <c r="Z257" s="300">
        <f t="shared" si="132"/>
        <v>0</v>
      </c>
      <c r="AA257" s="302">
        <f t="shared" si="133"/>
        <v>0</v>
      </c>
      <c r="AB257" s="1054">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1055">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334">
        <f t="shared" si="134"/>
        <v>0</v>
      </c>
      <c r="AE257" s="1043">
        <f t="shared" si="137"/>
        <v>0</v>
      </c>
      <c r="AF257" s="1043">
        <f t="shared" si="138"/>
        <v>0</v>
      </c>
      <c r="AG257" s="1043">
        <f t="shared" si="139"/>
        <v>0</v>
      </c>
      <c r="AH257" s="1280">
        <f t="shared" si="135"/>
        <v>0</v>
      </c>
      <c r="AI257" s="1043">
        <f t="shared" si="136"/>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30"/>
        <v>0</v>
      </c>
      <c r="N258" s="316">
        <f t="shared" si="131"/>
        <v>0</v>
      </c>
      <c r="O258" s="362">
        <v>0</v>
      </c>
      <c r="P258" s="363">
        <v>0</v>
      </c>
      <c r="Q258" s="363">
        <v>0</v>
      </c>
      <c r="R258" s="363">
        <v>0</v>
      </c>
      <c r="S258" s="363">
        <v>0</v>
      </c>
      <c r="T258" s="363">
        <v>0</v>
      </c>
      <c r="U258" s="363">
        <v>0</v>
      </c>
      <c r="V258" s="363">
        <v>0</v>
      </c>
      <c r="W258" s="363">
        <v>0</v>
      </c>
      <c r="X258" s="363">
        <v>0</v>
      </c>
      <c r="Y258" s="398">
        <v>0</v>
      </c>
      <c r="Z258" s="314">
        <f t="shared" si="132"/>
        <v>0</v>
      </c>
      <c r="AA258" s="316">
        <f t="shared" si="133"/>
        <v>0</v>
      </c>
      <c r="AB258" s="1054">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1055">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334">
        <f t="shared" si="134"/>
        <v>0</v>
      </c>
      <c r="AE258" s="1043">
        <f t="shared" si="137"/>
        <v>0</v>
      </c>
      <c r="AF258" s="1043">
        <f t="shared" si="138"/>
        <v>0</v>
      </c>
      <c r="AG258" s="1043">
        <f t="shared" si="139"/>
        <v>0</v>
      </c>
      <c r="AH258" s="1280">
        <f t="shared" si="135"/>
        <v>0</v>
      </c>
      <c r="AI258" s="1043">
        <f t="shared" si="136"/>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30"/>
        <v>0</v>
      </c>
      <c r="N259" s="316">
        <f t="shared" si="131"/>
        <v>0</v>
      </c>
      <c r="O259" s="362">
        <v>0</v>
      </c>
      <c r="P259" s="363">
        <v>0</v>
      </c>
      <c r="Q259" s="363">
        <v>0</v>
      </c>
      <c r="R259" s="363">
        <v>0</v>
      </c>
      <c r="S259" s="363">
        <v>0</v>
      </c>
      <c r="T259" s="363">
        <v>0</v>
      </c>
      <c r="U259" s="363">
        <v>0</v>
      </c>
      <c r="V259" s="363">
        <v>0</v>
      </c>
      <c r="W259" s="363">
        <v>0</v>
      </c>
      <c r="X259" s="363">
        <v>0</v>
      </c>
      <c r="Y259" s="398">
        <v>0</v>
      </c>
      <c r="Z259" s="314">
        <f t="shared" si="132"/>
        <v>0</v>
      </c>
      <c r="AA259" s="316">
        <f t="shared" si="133"/>
        <v>0</v>
      </c>
      <c r="AB259" s="1054">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1055">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334">
        <f>AB259*AH259+AC259*AI259</f>
        <v>0</v>
      </c>
      <c r="AE259" s="1043">
        <f t="shared" si="137"/>
        <v>0</v>
      </c>
      <c r="AF259" s="1043">
        <f t="shared" si="138"/>
        <v>0</v>
      </c>
      <c r="AG259" s="1043">
        <f t="shared" si="139"/>
        <v>0</v>
      </c>
      <c r="AH259" s="1280">
        <f t="shared" si="135"/>
        <v>0</v>
      </c>
      <c r="AI259" s="1043">
        <f t="shared" si="136"/>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30"/>
        <v>0</v>
      </c>
      <c r="N260" s="316">
        <f t="shared" si="131"/>
        <v>0</v>
      </c>
      <c r="O260" s="362">
        <v>0</v>
      </c>
      <c r="P260" s="363">
        <v>0</v>
      </c>
      <c r="Q260" s="363">
        <v>0</v>
      </c>
      <c r="R260" s="363">
        <v>0</v>
      </c>
      <c r="S260" s="363">
        <v>0</v>
      </c>
      <c r="T260" s="363">
        <v>0</v>
      </c>
      <c r="U260" s="363">
        <v>0</v>
      </c>
      <c r="V260" s="363">
        <v>0</v>
      </c>
      <c r="W260" s="363">
        <v>0</v>
      </c>
      <c r="X260" s="363">
        <v>0</v>
      </c>
      <c r="Y260" s="398">
        <v>0</v>
      </c>
      <c r="Z260" s="314">
        <f t="shared" si="132"/>
        <v>0</v>
      </c>
      <c r="AA260" s="316">
        <f t="shared" si="133"/>
        <v>0</v>
      </c>
      <c r="AB260" s="1054">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1055">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334">
        <f t="shared" ref="AD260:AD276" si="140">AB260*AH260+AC260*AI260</f>
        <v>0</v>
      </c>
      <c r="AE260" s="1043">
        <f t="shared" si="137"/>
        <v>0</v>
      </c>
      <c r="AF260" s="1043">
        <f t="shared" si="138"/>
        <v>0</v>
      </c>
      <c r="AG260" s="1043">
        <f t="shared" si="139"/>
        <v>0</v>
      </c>
      <c r="AH260" s="1280">
        <f t="shared" si="135"/>
        <v>0</v>
      </c>
      <c r="AI260" s="1043">
        <f t="shared" si="136"/>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30"/>
        <v>0</v>
      </c>
      <c r="N261" s="330">
        <f t="shared" si="131"/>
        <v>0</v>
      </c>
      <c r="O261" s="364">
        <v>0</v>
      </c>
      <c r="P261" s="365">
        <v>0</v>
      </c>
      <c r="Q261" s="365">
        <v>0</v>
      </c>
      <c r="R261" s="365">
        <v>0</v>
      </c>
      <c r="S261" s="365">
        <v>0</v>
      </c>
      <c r="T261" s="365">
        <v>0</v>
      </c>
      <c r="U261" s="365">
        <v>0</v>
      </c>
      <c r="V261" s="365">
        <v>0</v>
      </c>
      <c r="W261" s="365">
        <v>0</v>
      </c>
      <c r="X261" s="365">
        <v>0</v>
      </c>
      <c r="Y261" s="399">
        <v>0</v>
      </c>
      <c r="Z261" s="328">
        <f t="shared" si="132"/>
        <v>0</v>
      </c>
      <c r="AA261" s="330">
        <f t="shared" si="133"/>
        <v>0</v>
      </c>
      <c r="AB261" s="1054">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1055">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334">
        <f t="shared" si="140"/>
        <v>0</v>
      </c>
      <c r="AE261" s="1043">
        <f t="shared" si="137"/>
        <v>0</v>
      </c>
      <c r="AF261" s="1043">
        <f t="shared" si="138"/>
        <v>0</v>
      </c>
      <c r="AG261" s="1043">
        <f t="shared" si="139"/>
        <v>0</v>
      </c>
      <c r="AH261" s="1280">
        <f t="shared" si="135"/>
        <v>0</v>
      </c>
      <c r="AI261" s="1043">
        <f t="shared" si="136"/>
        <v>0</v>
      </c>
    </row>
    <row r="262" spans="1:35" x14ac:dyDescent="0.2">
      <c r="A262" s="347">
        <v>2036</v>
      </c>
      <c r="B262" s="360">
        <v>0</v>
      </c>
      <c r="C262" s="361">
        <v>0</v>
      </c>
      <c r="D262" s="361">
        <v>0</v>
      </c>
      <c r="E262" s="361">
        <v>0</v>
      </c>
      <c r="F262" s="361">
        <v>0</v>
      </c>
      <c r="G262" s="361">
        <v>0</v>
      </c>
      <c r="H262" s="361">
        <v>0</v>
      </c>
      <c r="I262" s="361">
        <v>0</v>
      </c>
      <c r="J262" s="361">
        <v>0</v>
      </c>
      <c r="K262" s="361">
        <v>0</v>
      </c>
      <c r="L262" s="397">
        <v>0</v>
      </c>
      <c r="M262" s="300">
        <f t="shared" si="130"/>
        <v>0</v>
      </c>
      <c r="N262" s="302">
        <f t="shared" si="131"/>
        <v>0</v>
      </c>
      <c r="O262" s="360">
        <v>0</v>
      </c>
      <c r="P262" s="361">
        <v>0</v>
      </c>
      <c r="Q262" s="361">
        <v>0</v>
      </c>
      <c r="R262" s="361">
        <v>0</v>
      </c>
      <c r="S262" s="361">
        <v>0</v>
      </c>
      <c r="T262" s="361">
        <v>0</v>
      </c>
      <c r="U262" s="361">
        <v>0</v>
      </c>
      <c r="V262" s="361">
        <v>0</v>
      </c>
      <c r="W262" s="361">
        <v>0</v>
      </c>
      <c r="X262" s="361">
        <v>0</v>
      </c>
      <c r="Y262" s="397">
        <v>0</v>
      </c>
      <c r="Z262" s="300">
        <f t="shared" si="132"/>
        <v>0</v>
      </c>
      <c r="AA262" s="302">
        <f t="shared" si="133"/>
        <v>0</v>
      </c>
      <c r="AB262" s="1054">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1055">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334">
        <f t="shared" si="140"/>
        <v>0</v>
      </c>
      <c r="AE262" s="1043">
        <f t="shared" si="137"/>
        <v>0</v>
      </c>
      <c r="AF262" s="1043">
        <f t="shared" si="138"/>
        <v>0</v>
      </c>
      <c r="AG262" s="1043">
        <f t="shared" si="139"/>
        <v>0</v>
      </c>
      <c r="AH262" s="1280">
        <f t="shared" si="135"/>
        <v>0</v>
      </c>
      <c r="AI262" s="1043">
        <f t="shared" si="136"/>
        <v>0</v>
      </c>
    </row>
    <row r="263" spans="1:35" x14ac:dyDescent="0.2">
      <c r="A263" s="348">
        <v>2037</v>
      </c>
      <c r="B263" s="362">
        <v>0</v>
      </c>
      <c r="C263" s="363">
        <v>0</v>
      </c>
      <c r="D263" s="363">
        <v>0</v>
      </c>
      <c r="E263" s="363">
        <v>0</v>
      </c>
      <c r="F263" s="363">
        <v>0</v>
      </c>
      <c r="G263" s="363">
        <v>0</v>
      </c>
      <c r="H263" s="363">
        <v>0</v>
      </c>
      <c r="I263" s="363">
        <v>0</v>
      </c>
      <c r="J263" s="363">
        <v>0</v>
      </c>
      <c r="K263" s="363">
        <v>0</v>
      </c>
      <c r="L263" s="398">
        <v>0</v>
      </c>
      <c r="M263" s="314">
        <f t="shared" si="130"/>
        <v>0</v>
      </c>
      <c r="N263" s="316">
        <f t="shared" si="131"/>
        <v>0</v>
      </c>
      <c r="O263" s="362">
        <v>0</v>
      </c>
      <c r="P263" s="363">
        <v>0</v>
      </c>
      <c r="Q263" s="363">
        <v>0</v>
      </c>
      <c r="R263" s="363">
        <v>0</v>
      </c>
      <c r="S263" s="363">
        <v>0</v>
      </c>
      <c r="T263" s="363">
        <v>0</v>
      </c>
      <c r="U263" s="363">
        <v>0</v>
      </c>
      <c r="V263" s="363">
        <v>0</v>
      </c>
      <c r="W263" s="363">
        <v>0</v>
      </c>
      <c r="X263" s="363">
        <v>0</v>
      </c>
      <c r="Y263" s="398">
        <v>0</v>
      </c>
      <c r="Z263" s="314">
        <f t="shared" si="132"/>
        <v>0</v>
      </c>
      <c r="AA263" s="316">
        <f t="shared" si="133"/>
        <v>0</v>
      </c>
      <c r="AB263" s="1054">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1055">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334">
        <f t="shared" si="140"/>
        <v>0</v>
      </c>
      <c r="AE263" s="1043">
        <f t="shared" si="137"/>
        <v>0</v>
      </c>
      <c r="AF263" s="1043">
        <f t="shared" si="138"/>
        <v>0</v>
      </c>
      <c r="AG263" s="1043">
        <f t="shared" si="139"/>
        <v>0</v>
      </c>
      <c r="AH263" s="1280">
        <f t="shared" si="135"/>
        <v>0</v>
      </c>
      <c r="AI263" s="1043">
        <f t="shared" si="136"/>
        <v>0</v>
      </c>
    </row>
    <row r="264" spans="1:35" x14ac:dyDescent="0.2">
      <c r="A264" s="348">
        <v>2038</v>
      </c>
      <c r="B264" s="362">
        <v>0</v>
      </c>
      <c r="C264" s="363">
        <v>0</v>
      </c>
      <c r="D264" s="363">
        <v>0</v>
      </c>
      <c r="E264" s="363">
        <v>0</v>
      </c>
      <c r="F264" s="363">
        <v>0</v>
      </c>
      <c r="G264" s="363">
        <v>0</v>
      </c>
      <c r="H264" s="363">
        <v>0</v>
      </c>
      <c r="I264" s="363">
        <v>0</v>
      </c>
      <c r="J264" s="363">
        <v>0</v>
      </c>
      <c r="K264" s="363">
        <v>0</v>
      </c>
      <c r="L264" s="398">
        <v>0</v>
      </c>
      <c r="M264" s="314">
        <f t="shared" si="130"/>
        <v>0</v>
      </c>
      <c r="N264" s="316">
        <f t="shared" si="131"/>
        <v>0</v>
      </c>
      <c r="O264" s="362">
        <v>0</v>
      </c>
      <c r="P264" s="363">
        <v>0</v>
      </c>
      <c r="Q264" s="363">
        <v>0</v>
      </c>
      <c r="R264" s="363">
        <v>0</v>
      </c>
      <c r="S264" s="363">
        <v>0</v>
      </c>
      <c r="T264" s="363">
        <v>0</v>
      </c>
      <c r="U264" s="363">
        <v>0</v>
      </c>
      <c r="V264" s="363">
        <v>0</v>
      </c>
      <c r="W264" s="363">
        <v>0</v>
      </c>
      <c r="X264" s="363">
        <v>0</v>
      </c>
      <c r="Y264" s="398">
        <v>0</v>
      </c>
      <c r="Z264" s="314">
        <f t="shared" si="132"/>
        <v>0</v>
      </c>
      <c r="AA264" s="316">
        <f t="shared" si="133"/>
        <v>0</v>
      </c>
      <c r="AB264" s="1054">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1055">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334">
        <f t="shared" si="140"/>
        <v>0</v>
      </c>
      <c r="AE264" s="1043">
        <f t="shared" si="137"/>
        <v>0</v>
      </c>
      <c r="AF264" s="1043">
        <f t="shared" si="138"/>
        <v>0</v>
      </c>
      <c r="AG264" s="1043">
        <f t="shared" si="139"/>
        <v>0</v>
      </c>
      <c r="AH264" s="1280">
        <f t="shared" si="135"/>
        <v>0</v>
      </c>
      <c r="AI264" s="1043">
        <f t="shared" si="136"/>
        <v>0</v>
      </c>
    </row>
    <row r="265" spans="1:35" x14ac:dyDescent="0.2">
      <c r="A265" s="348">
        <v>2039</v>
      </c>
      <c r="B265" s="362">
        <v>0</v>
      </c>
      <c r="C265" s="363">
        <v>0</v>
      </c>
      <c r="D265" s="363">
        <v>0</v>
      </c>
      <c r="E265" s="363">
        <v>0</v>
      </c>
      <c r="F265" s="363">
        <v>0</v>
      </c>
      <c r="G265" s="363">
        <v>0</v>
      </c>
      <c r="H265" s="363">
        <v>0</v>
      </c>
      <c r="I265" s="363">
        <v>0</v>
      </c>
      <c r="J265" s="363">
        <v>0</v>
      </c>
      <c r="K265" s="363">
        <v>0</v>
      </c>
      <c r="L265" s="398">
        <v>0</v>
      </c>
      <c r="M265" s="314">
        <f t="shared" si="130"/>
        <v>0</v>
      </c>
      <c r="N265" s="316">
        <f t="shared" si="131"/>
        <v>0</v>
      </c>
      <c r="O265" s="362">
        <v>0</v>
      </c>
      <c r="P265" s="363">
        <v>0</v>
      </c>
      <c r="Q265" s="363">
        <v>0</v>
      </c>
      <c r="R265" s="363">
        <v>0</v>
      </c>
      <c r="S265" s="363">
        <v>0</v>
      </c>
      <c r="T265" s="363">
        <v>0</v>
      </c>
      <c r="U265" s="363">
        <v>0</v>
      </c>
      <c r="V265" s="363">
        <v>0</v>
      </c>
      <c r="W265" s="363">
        <v>0</v>
      </c>
      <c r="X265" s="363">
        <v>0</v>
      </c>
      <c r="Y265" s="398">
        <v>0</v>
      </c>
      <c r="Z265" s="314">
        <f t="shared" si="132"/>
        <v>0</v>
      </c>
      <c r="AA265" s="316">
        <f t="shared" si="133"/>
        <v>0</v>
      </c>
      <c r="AB265" s="1054">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1055">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334">
        <f t="shared" si="140"/>
        <v>0</v>
      </c>
      <c r="AE265" s="1043">
        <f t="shared" si="137"/>
        <v>0</v>
      </c>
      <c r="AF265" s="1043">
        <f t="shared" si="138"/>
        <v>0</v>
      </c>
      <c r="AG265" s="1043">
        <f t="shared" si="139"/>
        <v>0</v>
      </c>
      <c r="AH265" s="1280">
        <f t="shared" si="135"/>
        <v>0</v>
      </c>
      <c r="AI265" s="1043">
        <f t="shared" si="136"/>
        <v>0</v>
      </c>
    </row>
    <row r="266" spans="1:35" ht="13.5" thickBot="1" x14ac:dyDescent="0.25">
      <c r="A266" s="346">
        <v>2040</v>
      </c>
      <c r="B266" s="364">
        <v>0</v>
      </c>
      <c r="C266" s="365">
        <v>0</v>
      </c>
      <c r="D266" s="365">
        <v>0</v>
      </c>
      <c r="E266" s="365">
        <v>0</v>
      </c>
      <c r="F266" s="365">
        <v>0</v>
      </c>
      <c r="G266" s="365">
        <v>0</v>
      </c>
      <c r="H266" s="365">
        <v>0</v>
      </c>
      <c r="I266" s="365">
        <v>0</v>
      </c>
      <c r="J266" s="365">
        <v>0</v>
      </c>
      <c r="K266" s="365">
        <v>0</v>
      </c>
      <c r="L266" s="399">
        <v>0</v>
      </c>
      <c r="M266" s="328">
        <f t="shared" si="130"/>
        <v>0</v>
      </c>
      <c r="N266" s="330">
        <f t="shared" si="131"/>
        <v>0</v>
      </c>
      <c r="O266" s="364">
        <v>0</v>
      </c>
      <c r="P266" s="365">
        <v>0</v>
      </c>
      <c r="Q266" s="365">
        <v>0</v>
      </c>
      <c r="R266" s="365">
        <v>0</v>
      </c>
      <c r="S266" s="365">
        <v>0</v>
      </c>
      <c r="T266" s="365">
        <v>0</v>
      </c>
      <c r="U266" s="365">
        <v>0</v>
      </c>
      <c r="V266" s="365">
        <v>0</v>
      </c>
      <c r="W266" s="365">
        <v>0</v>
      </c>
      <c r="X266" s="365">
        <v>0</v>
      </c>
      <c r="Y266" s="399">
        <v>0</v>
      </c>
      <c r="Z266" s="328">
        <f t="shared" si="132"/>
        <v>0</v>
      </c>
      <c r="AA266" s="330">
        <f t="shared" si="133"/>
        <v>0</v>
      </c>
      <c r="AB266" s="1054">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1055">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334">
        <f t="shared" si="140"/>
        <v>0</v>
      </c>
      <c r="AE266" s="1043">
        <f t="shared" si="137"/>
        <v>0</v>
      </c>
      <c r="AF266" s="1043">
        <f t="shared" si="138"/>
        <v>0</v>
      </c>
      <c r="AG266" s="1043">
        <f t="shared" si="139"/>
        <v>0</v>
      </c>
      <c r="AH266" s="1280">
        <f t="shared" si="135"/>
        <v>0</v>
      </c>
      <c r="AI266" s="1043">
        <f t="shared" si="136"/>
        <v>0</v>
      </c>
    </row>
    <row r="267" spans="1:35" x14ac:dyDescent="0.2">
      <c r="A267" s="347">
        <v>2041</v>
      </c>
      <c r="B267" s="360">
        <v>0</v>
      </c>
      <c r="C267" s="361">
        <v>0</v>
      </c>
      <c r="D267" s="361">
        <v>0</v>
      </c>
      <c r="E267" s="361">
        <v>0</v>
      </c>
      <c r="F267" s="361">
        <v>0</v>
      </c>
      <c r="G267" s="361">
        <v>0</v>
      </c>
      <c r="H267" s="361">
        <v>0</v>
      </c>
      <c r="I267" s="361">
        <v>0</v>
      </c>
      <c r="J267" s="361">
        <v>0</v>
      </c>
      <c r="K267" s="361">
        <v>0</v>
      </c>
      <c r="L267" s="397">
        <v>0</v>
      </c>
      <c r="M267" s="300">
        <f t="shared" si="130"/>
        <v>0</v>
      </c>
      <c r="N267" s="302">
        <f t="shared" si="131"/>
        <v>0</v>
      </c>
      <c r="O267" s="360">
        <v>0</v>
      </c>
      <c r="P267" s="361">
        <v>0</v>
      </c>
      <c r="Q267" s="361">
        <v>0</v>
      </c>
      <c r="R267" s="361">
        <v>0</v>
      </c>
      <c r="S267" s="361">
        <v>0</v>
      </c>
      <c r="T267" s="361">
        <v>0</v>
      </c>
      <c r="U267" s="361">
        <v>0</v>
      </c>
      <c r="V267" s="361">
        <v>0</v>
      </c>
      <c r="W267" s="361">
        <v>0</v>
      </c>
      <c r="X267" s="361">
        <v>0</v>
      </c>
      <c r="Y267" s="397">
        <v>0</v>
      </c>
      <c r="Z267" s="300">
        <f t="shared" si="132"/>
        <v>0</v>
      </c>
      <c r="AA267" s="302">
        <f t="shared" si="133"/>
        <v>0</v>
      </c>
      <c r="AB267" s="1054">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1055">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334">
        <f t="shared" si="140"/>
        <v>0</v>
      </c>
      <c r="AE267" s="1043">
        <f t="shared" si="137"/>
        <v>0</v>
      </c>
      <c r="AF267" s="1043">
        <f t="shared" si="138"/>
        <v>0</v>
      </c>
      <c r="AG267" s="1043">
        <f t="shared" si="139"/>
        <v>0</v>
      </c>
      <c r="AH267" s="1280">
        <f t="shared" si="135"/>
        <v>0</v>
      </c>
      <c r="AI267" s="1043">
        <f t="shared" si="136"/>
        <v>0</v>
      </c>
    </row>
    <row r="268" spans="1:35" x14ac:dyDescent="0.2">
      <c r="A268" s="348">
        <v>2042</v>
      </c>
      <c r="B268" s="362">
        <v>0</v>
      </c>
      <c r="C268" s="363">
        <v>0</v>
      </c>
      <c r="D268" s="363">
        <v>0</v>
      </c>
      <c r="E268" s="363">
        <v>0</v>
      </c>
      <c r="F268" s="363">
        <v>0</v>
      </c>
      <c r="G268" s="363">
        <v>0</v>
      </c>
      <c r="H268" s="363">
        <v>0</v>
      </c>
      <c r="I268" s="363">
        <v>0</v>
      </c>
      <c r="J268" s="363">
        <v>0</v>
      </c>
      <c r="K268" s="363">
        <v>0</v>
      </c>
      <c r="L268" s="398">
        <v>0</v>
      </c>
      <c r="M268" s="314">
        <f t="shared" si="130"/>
        <v>0</v>
      </c>
      <c r="N268" s="316">
        <f t="shared" si="131"/>
        <v>0</v>
      </c>
      <c r="O268" s="362">
        <v>0</v>
      </c>
      <c r="P268" s="363">
        <v>0</v>
      </c>
      <c r="Q268" s="363">
        <v>7.1774469186843643E-4</v>
      </c>
      <c r="R268" s="363">
        <v>0</v>
      </c>
      <c r="S268" s="363">
        <v>0</v>
      </c>
      <c r="T268" s="363">
        <v>0</v>
      </c>
      <c r="U268" s="363">
        <v>0</v>
      </c>
      <c r="V268" s="363">
        <v>0</v>
      </c>
      <c r="W268" s="363">
        <v>0</v>
      </c>
      <c r="X268" s="363">
        <v>0</v>
      </c>
      <c r="Y268" s="398">
        <v>0</v>
      </c>
      <c r="Z268" s="314">
        <f t="shared" si="132"/>
        <v>3.0061382098079453E-5</v>
      </c>
      <c r="AA268" s="316">
        <f t="shared" si="133"/>
        <v>4.4727041266095562E-5</v>
      </c>
      <c r="AB268" s="1054">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1055">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334">
        <f t="shared" si="140"/>
        <v>0</v>
      </c>
      <c r="AE268" s="1043">
        <f t="shared" si="137"/>
        <v>0</v>
      </c>
      <c r="AF268" s="1043">
        <f t="shared" si="138"/>
        <v>3.0061382098079453E-5</v>
      </c>
      <c r="AG268" s="1043">
        <f t="shared" si="139"/>
        <v>3.0061382098079453E-5</v>
      </c>
      <c r="AH268" s="1280">
        <f t="shared" si="135"/>
        <v>0</v>
      </c>
      <c r="AI268" s="1043">
        <f t="shared" si="136"/>
        <v>1</v>
      </c>
    </row>
    <row r="269" spans="1:35" x14ac:dyDescent="0.2">
      <c r="A269" s="348">
        <v>2043</v>
      </c>
      <c r="B269" s="362">
        <v>0</v>
      </c>
      <c r="C269" s="363">
        <v>0</v>
      </c>
      <c r="D269" s="363">
        <v>4.9276486590093399E-3</v>
      </c>
      <c r="E269" s="363">
        <v>0</v>
      </c>
      <c r="F269" s="363">
        <v>0</v>
      </c>
      <c r="G269" s="363">
        <v>0</v>
      </c>
      <c r="H269" s="363">
        <v>0</v>
      </c>
      <c r="I269" s="363">
        <v>0</v>
      </c>
      <c r="J269" s="363">
        <v>0</v>
      </c>
      <c r="K269" s="363">
        <v>0</v>
      </c>
      <c r="L269" s="398">
        <v>0</v>
      </c>
      <c r="M269" s="314">
        <f t="shared" si="130"/>
        <v>2.954378018111354E-4</v>
      </c>
      <c r="N269" s="316">
        <f t="shared" si="131"/>
        <v>4.5264026257242591E-4</v>
      </c>
      <c r="O269" s="362">
        <v>0</v>
      </c>
      <c r="P269" s="363">
        <v>1.1738805186626887E-4</v>
      </c>
      <c r="Q269" s="363">
        <v>2.8900804652809767E-2</v>
      </c>
      <c r="R269" s="363">
        <v>0</v>
      </c>
      <c r="S269" s="363">
        <v>0</v>
      </c>
      <c r="T269" s="363">
        <v>0</v>
      </c>
      <c r="U269" s="363">
        <v>0</v>
      </c>
      <c r="V269" s="363">
        <v>0</v>
      </c>
      <c r="W269" s="363">
        <v>0</v>
      </c>
      <c r="X269" s="363">
        <v>0</v>
      </c>
      <c r="Y269" s="398">
        <v>0</v>
      </c>
      <c r="Z269" s="314">
        <f t="shared" si="132"/>
        <v>1.2136913347177791E-3</v>
      </c>
      <c r="AA269" s="316">
        <f t="shared" si="133"/>
        <v>1.8088540090153795E-3</v>
      </c>
      <c r="AB269" s="1054">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1055">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334">
        <f t="shared" si="140"/>
        <v>0</v>
      </c>
      <c r="AE269" s="1043">
        <f t="shared" si="137"/>
        <v>2.954378018111354E-4</v>
      </c>
      <c r="AF269" s="1043">
        <f t="shared" si="138"/>
        <v>1.2136913347177791E-3</v>
      </c>
      <c r="AG269" s="1043">
        <f t="shared" si="139"/>
        <v>1.5091291365289146E-3</v>
      </c>
      <c r="AH269" s="1280">
        <f t="shared" si="135"/>
        <v>0.19576707828374426</v>
      </c>
      <c r="AI269" s="1043">
        <f t="shared" si="136"/>
        <v>0.80423292171625571</v>
      </c>
    </row>
    <row r="270" spans="1:35" x14ac:dyDescent="0.2">
      <c r="A270" s="348">
        <v>2044</v>
      </c>
      <c r="B270" s="362">
        <v>0</v>
      </c>
      <c r="C270" s="363">
        <v>7.2318848853509046E-4</v>
      </c>
      <c r="D270" s="363">
        <v>4.6676558376573467E-2</v>
      </c>
      <c r="E270" s="363">
        <v>0</v>
      </c>
      <c r="F270" s="363">
        <v>0</v>
      </c>
      <c r="G270" s="363">
        <v>0</v>
      </c>
      <c r="H270" s="363">
        <v>0</v>
      </c>
      <c r="I270" s="363">
        <v>0</v>
      </c>
      <c r="J270" s="363">
        <v>0</v>
      </c>
      <c r="K270" s="363">
        <v>0</v>
      </c>
      <c r="L270" s="398">
        <v>0</v>
      </c>
      <c r="M270" s="314">
        <f t="shared" si="130"/>
        <v>2.8237882638463721E-3</v>
      </c>
      <c r="N270" s="316">
        <f t="shared" si="131"/>
        <v>4.3524148709606575E-3</v>
      </c>
      <c r="O270" s="362">
        <v>0</v>
      </c>
      <c r="P270" s="363">
        <v>5.1581342699085694E-3</v>
      </c>
      <c r="Q270" s="363">
        <v>7.9572025190607895E-2</v>
      </c>
      <c r="R270" s="363">
        <v>0</v>
      </c>
      <c r="S270" s="363">
        <v>0</v>
      </c>
      <c r="T270" s="363">
        <v>0</v>
      </c>
      <c r="U270" s="363">
        <v>0</v>
      </c>
      <c r="V270" s="363">
        <v>0</v>
      </c>
      <c r="W270" s="363">
        <v>0</v>
      </c>
      <c r="X270" s="363">
        <v>0</v>
      </c>
      <c r="Y270" s="398">
        <v>0</v>
      </c>
      <c r="Z270" s="314">
        <f t="shared" si="132"/>
        <v>3.4749021007716577E-3</v>
      </c>
      <c r="AA270" s="316">
        <f t="shared" si="133"/>
        <v>5.3043849122589417E-3</v>
      </c>
      <c r="AB270" s="1054">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1055">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334">
        <f t="shared" si="140"/>
        <v>0</v>
      </c>
      <c r="AE270" s="1043">
        <f t="shared" si="137"/>
        <v>2.8237882638463721E-3</v>
      </c>
      <c r="AF270" s="1043">
        <f t="shared" si="138"/>
        <v>3.4749021007716577E-3</v>
      </c>
      <c r="AG270" s="1043">
        <f t="shared" si="139"/>
        <v>6.2986903646180294E-3</v>
      </c>
      <c r="AH270" s="1280">
        <f t="shared" si="135"/>
        <v>0.44831355414906393</v>
      </c>
      <c r="AI270" s="1043">
        <f t="shared" si="136"/>
        <v>0.55168644585093618</v>
      </c>
    </row>
    <row r="271" spans="1:35" ht="13.5" thickBot="1" x14ac:dyDescent="0.25">
      <c r="A271" s="346">
        <v>2045</v>
      </c>
      <c r="B271" s="364">
        <v>0</v>
      </c>
      <c r="C271" s="365">
        <v>1.3011937698371206E-2</v>
      </c>
      <c r="D271" s="365">
        <v>9.6662346323136597E-2</v>
      </c>
      <c r="E271" s="365">
        <v>0</v>
      </c>
      <c r="F271" s="365">
        <v>0</v>
      </c>
      <c r="G271" s="365">
        <v>0</v>
      </c>
      <c r="H271" s="365">
        <v>0</v>
      </c>
      <c r="I271" s="365">
        <v>0</v>
      </c>
      <c r="J271" s="365">
        <v>0</v>
      </c>
      <c r="K271" s="365">
        <v>0</v>
      </c>
      <c r="L271" s="399">
        <v>0</v>
      </c>
      <c r="M271" s="328">
        <f t="shared" si="130"/>
        <v>6.2504194042911285E-3</v>
      </c>
      <c r="N271" s="330">
        <f t="shared" si="131"/>
        <v>1.0045669504626358E-2</v>
      </c>
      <c r="O271" s="364">
        <v>0</v>
      </c>
      <c r="P271" s="365">
        <v>2.5400210950090003E-2</v>
      </c>
      <c r="Q271" s="365">
        <v>0.11986324634701903</v>
      </c>
      <c r="R271" s="365">
        <v>0</v>
      </c>
      <c r="S271" s="365">
        <v>0</v>
      </c>
      <c r="T271" s="365">
        <v>0</v>
      </c>
      <c r="U271" s="365">
        <v>0</v>
      </c>
      <c r="V271" s="365">
        <v>0</v>
      </c>
      <c r="W271" s="365">
        <v>0</v>
      </c>
      <c r="X271" s="365">
        <v>0</v>
      </c>
      <c r="Y271" s="399">
        <v>0</v>
      </c>
      <c r="Z271" s="328">
        <f t="shared" si="132"/>
        <v>5.7203731703994211E-3</v>
      </c>
      <c r="AA271" s="330">
        <f t="shared" si="133"/>
        <v>9.1720726795691144E-3</v>
      </c>
      <c r="AB271" s="1054">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1055">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334">
        <f t="shared" si="140"/>
        <v>0</v>
      </c>
      <c r="AE271" s="1043">
        <f t="shared" si="137"/>
        <v>6.2504194042911285E-3</v>
      </c>
      <c r="AF271" s="1043">
        <f t="shared" si="138"/>
        <v>5.7203731703994211E-3</v>
      </c>
      <c r="AG271" s="1043">
        <f t="shared" si="139"/>
        <v>1.197079257469055E-2</v>
      </c>
      <c r="AH271" s="1280">
        <f t="shared" si="135"/>
        <v>0.52213914536504313</v>
      </c>
      <c r="AI271" s="1043">
        <f t="shared" si="136"/>
        <v>0.47786085463495681</v>
      </c>
    </row>
    <row r="272" spans="1:35" x14ac:dyDescent="0.2">
      <c r="A272" s="347">
        <v>2046</v>
      </c>
      <c r="B272" s="360">
        <v>0</v>
      </c>
      <c r="C272" s="361">
        <v>3.404795661630737E-2</v>
      </c>
      <c r="D272" s="361">
        <v>0.12499032109162464</v>
      </c>
      <c r="E272" s="361">
        <v>0</v>
      </c>
      <c r="F272" s="361">
        <v>0</v>
      </c>
      <c r="G272" s="361">
        <v>0</v>
      </c>
      <c r="H272" s="361">
        <v>0</v>
      </c>
      <c r="I272" s="361">
        <v>0</v>
      </c>
      <c r="J272" s="361">
        <v>0</v>
      </c>
      <c r="K272" s="361">
        <v>0</v>
      </c>
      <c r="L272" s="397">
        <v>0</v>
      </c>
      <c r="M272" s="300">
        <f t="shared" si="130"/>
        <v>8.6844380142987107E-3</v>
      </c>
      <c r="N272" s="302">
        <f t="shared" si="131"/>
        <v>1.4533697623436403E-2</v>
      </c>
      <c r="O272" s="360">
        <v>0</v>
      </c>
      <c r="P272" s="361">
        <v>5.7118635750654054E-2</v>
      </c>
      <c r="Q272" s="361">
        <v>0.14019850087943345</v>
      </c>
      <c r="R272" s="361">
        <v>0</v>
      </c>
      <c r="S272" s="361">
        <v>0</v>
      </c>
      <c r="T272" s="361">
        <v>0</v>
      </c>
      <c r="U272" s="361">
        <v>0</v>
      </c>
      <c r="V272" s="361">
        <v>0</v>
      </c>
      <c r="W272" s="361">
        <v>0</v>
      </c>
      <c r="X272" s="361">
        <v>0</v>
      </c>
      <c r="Y272" s="397">
        <v>0</v>
      </c>
      <c r="Z272" s="300">
        <f t="shared" si="132"/>
        <v>7.4463584194151677E-3</v>
      </c>
      <c r="AA272" s="302">
        <f t="shared" si="133"/>
        <v>1.2565482030523389E-2</v>
      </c>
      <c r="AB272" s="1054">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1055">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334">
        <f t="shared" si="140"/>
        <v>0</v>
      </c>
      <c r="AE272" s="1043">
        <f t="shared" si="137"/>
        <v>8.6844380142987107E-3</v>
      </c>
      <c r="AF272" s="1043">
        <f t="shared" si="138"/>
        <v>7.4463584194151677E-3</v>
      </c>
      <c r="AG272" s="1043">
        <f t="shared" si="139"/>
        <v>1.613079643371388E-2</v>
      </c>
      <c r="AH272" s="1280">
        <f t="shared" si="135"/>
        <v>0.53837626988757714</v>
      </c>
      <c r="AI272" s="1043">
        <f t="shared" si="136"/>
        <v>0.46162373011242275</v>
      </c>
    </row>
    <row r="273" spans="1:39" x14ac:dyDescent="0.2">
      <c r="A273" s="348">
        <v>2047</v>
      </c>
      <c r="B273" s="362">
        <v>0</v>
      </c>
      <c r="C273" s="363">
        <v>5.6462435041993601E-2</v>
      </c>
      <c r="D273" s="363">
        <v>0.14724954571623644</v>
      </c>
      <c r="E273" s="363">
        <v>0</v>
      </c>
      <c r="F273" s="363">
        <v>0</v>
      </c>
      <c r="G273" s="363">
        <v>0</v>
      </c>
      <c r="H273" s="363">
        <v>0</v>
      </c>
      <c r="I273" s="363">
        <v>0</v>
      </c>
      <c r="J273" s="363">
        <v>0</v>
      </c>
      <c r="K273" s="363">
        <v>0</v>
      </c>
      <c r="L273" s="398">
        <v>0</v>
      </c>
      <c r="M273" s="314">
        <f t="shared" si="130"/>
        <v>1.0802807467701831E-2</v>
      </c>
      <c r="N273" s="316">
        <f t="shared" si="131"/>
        <v>1.8587847181126237E-2</v>
      </c>
      <c r="O273" s="362">
        <v>0</v>
      </c>
      <c r="P273" s="363">
        <v>7.9333348374224691E-2</v>
      </c>
      <c r="Q273" s="363">
        <v>0.15047988959679195</v>
      </c>
      <c r="R273" s="363">
        <v>0</v>
      </c>
      <c r="S273" s="363">
        <v>0</v>
      </c>
      <c r="T273" s="363">
        <v>0</v>
      </c>
      <c r="U273" s="363">
        <v>0</v>
      </c>
      <c r="V273" s="363">
        <v>0</v>
      </c>
      <c r="W273" s="363">
        <v>0</v>
      </c>
      <c r="X273" s="363">
        <v>0</v>
      </c>
      <c r="Y273" s="398">
        <v>0</v>
      </c>
      <c r="Z273" s="314">
        <f t="shared" si="132"/>
        <v>8.4892976983831619E-3</v>
      </c>
      <c r="AA273" s="316">
        <f t="shared" si="133"/>
        <v>1.469530706123332E-2</v>
      </c>
      <c r="AB273" s="1054">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1055">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334">
        <f t="shared" si="140"/>
        <v>0</v>
      </c>
      <c r="AE273" s="1043">
        <f t="shared" si="137"/>
        <v>1.0802807467701831E-2</v>
      </c>
      <c r="AF273" s="1043">
        <f t="shared" si="138"/>
        <v>8.4892976983831619E-3</v>
      </c>
      <c r="AG273" s="1043">
        <f t="shared" si="139"/>
        <v>1.9292105166084993E-2</v>
      </c>
      <c r="AH273" s="1280">
        <f t="shared" si="135"/>
        <v>0.55996001342004287</v>
      </c>
      <c r="AI273" s="1043">
        <f t="shared" si="136"/>
        <v>0.44003998657995713</v>
      </c>
    </row>
    <row r="274" spans="1:39" x14ac:dyDescent="0.2">
      <c r="A274" s="348">
        <v>2048</v>
      </c>
      <c r="B274" s="362">
        <v>0</v>
      </c>
      <c r="C274" s="363">
        <v>7.7134444559444723E-2</v>
      </c>
      <c r="D274" s="363">
        <v>0.15992440187820892</v>
      </c>
      <c r="E274" s="363">
        <v>0</v>
      </c>
      <c r="F274" s="363">
        <v>0</v>
      </c>
      <c r="G274" s="363">
        <v>0</v>
      </c>
      <c r="H274" s="363">
        <v>0</v>
      </c>
      <c r="I274" s="363">
        <v>0</v>
      </c>
      <c r="J274" s="363">
        <v>0</v>
      </c>
      <c r="K274" s="363">
        <v>0</v>
      </c>
      <c r="L274" s="398">
        <v>0</v>
      </c>
      <c r="M274" s="314">
        <f t="shared" si="130"/>
        <v>1.2285612269581784E-2</v>
      </c>
      <c r="N274" s="316">
        <f t="shared" si="131"/>
        <v>2.1605389072504758E-2</v>
      </c>
      <c r="O274" s="362">
        <v>0</v>
      </c>
      <c r="P274" s="363">
        <v>9.4393700986444493E-2</v>
      </c>
      <c r="Q274" s="363">
        <v>0.15617598810179392</v>
      </c>
      <c r="R274" s="363">
        <v>0</v>
      </c>
      <c r="S274" s="363">
        <v>0</v>
      </c>
      <c r="T274" s="363">
        <v>0</v>
      </c>
      <c r="U274" s="363">
        <v>0</v>
      </c>
      <c r="V274" s="363">
        <v>0</v>
      </c>
      <c r="W274" s="363">
        <v>0</v>
      </c>
      <c r="X274" s="363">
        <v>0</v>
      </c>
      <c r="Y274" s="398">
        <v>0</v>
      </c>
      <c r="Z274" s="314">
        <f t="shared" si="132"/>
        <v>9.1429891373087137E-3</v>
      </c>
      <c r="AA274" s="316">
        <f t="shared" si="133"/>
        <v>1.6059813219900545E-2</v>
      </c>
      <c r="AB274" s="1054">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1055">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334">
        <f t="shared" si="140"/>
        <v>0</v>
      </c>
      <c r="AE274" s="1043">
        <f t="shared" si="137"/>
        <v>1.2285612269581784E-2</v>
      </c>
      <c r="AF274" s="1043">
        <f t="shared" si="138"/>
        <v>9.1429891373087137E-3</v>
      </c>
      <c r="AG274" s="1043">
        <f t="shared" si="139"/>
        <v>2.1428601406890499E-2</v>
      </c>
      <c r="AH274" s="1280">
        <f t="shared" si="135"/>
        <v>0.57332777050168426</v>
      </c>
      <c r="AI274" s="1043">
        <f t="shared" si="136"/>
        <v>0.42667222949831568</v>
      </c>
    </row>
    <row r="275" spans="1:39" x14ac:dyDescent="0.2">
      <c r="A275" s="348">
        <v>2049</v>
      </c>
      <c r="B275" s="362">
        <v>0</v>
      </c>
      <c r="C275" s="363">
        <v>8.756927573317172E-2</v>
      </c>
      <c r="D275" s="363">
        <v>0.1683336725828152</v>
      </c>
      <c r="E275" s="363">
        <v>0</v>
      </c>
      <c r="F275" s="363">
        <v>0</v>
      </c>
      <c r="G275" s="363">
        <v>0</v>
      </c>
      <c r="H275" s="363">
        <v>0</v>
      </c>
      <c r="I275" s="363">
        <v>0</v>
      </c>
      <c r="J275" s="363">
        <v>0</v>
      </c>
      <c r="K275" s="363">
        <v>0</v>
      </c>
      <c r="L275" s="398">
        <v>0</v>
      </c>
      <c r="M275" s="314">
        <f t="shared" si="130"/>
        <v>1.3154688132176778E-2</v>
      </c>
      <c r="N275" s="316">
        <f t="shared" si="131"/>
        <v>2.3313333665226976E-2</v>
      </c>
      <c r="O275" s="362">
        <v>0</v>
      </c>
      <c r="P275" s="363">
        <v>0.10544348259632888</v>
      </c>
      <c r="Q275" s="363">
        <v>0.16651290377636366</v>
      </c>
      <c r="R275" s="363">
        <v>0</v>
      </c>
      <c r="S275" s="363">
        <v>0</v>
      </c>
      <c r="T275" s="363">
        <v>0</v>
      </c>
      <c r="U275" s="363">
        <v>0</v>
      </c>
      <c r="V275" s="363">
        <v>0</v>
      </c>
      <c r="W275" s="363">
        <v>0</v>
      </c>
      <c r="X275" s="363">
        <v>0</v>
      </c>
      <c r="Y275" s="398">
        <v>0</v>
      </c>
      <c r="Z275" s="314">
        <f t="shared" si="132"/>
        <v>9.8805057221129904E-3</v>
      </c>
      <c r="AA275" s="316">
        <f t="shared" si="133"/>
        <v>1.7444674487591606E-2</v>
      </c>
      <c r="AB275" s="1054">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1055">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334">
        <f t="shared" si="140"/>
        <v>0</v>
      </c>
      <c r="AE275" s="1043">
        <f t="shared" si="137"/>
        <v>1.3154688132176778E-2</v>
      </c>
      <c r="AF275" s="1043">
        <f t="shared" si="138"/>
        <v>9.8805057221129904E-3</v>
      </c>
      <c r="AG275" s="1043">
        <f t="shared" si="139"/>
        <v>2.3035193854289766E-2</v>
      </c>
      <c r="AH275" s="1280">
        <f t="shared" si="135"/>
        <v>0.57106913079991395</v>
      </c>
      <c r="AI275" s="1043">
        <f t="shared" si="136"/>
        <v>0.42893086920008605</v>
      </c>
    </row>
    <row r="276" spans="1:39" ht="13.5" thickBot="1" x14ac:dyDescent="0.25">
      <c r="A276" s="346">
        <v>2050</v>
      </c>
      <c r="B276" s="364">
        <v>0</v>
      </c>
      <c r="C276" s="365">
        <v>0.10355567615036879</v>
      </c>
      <c r="D276" s="365">
        <v>0.17794093765756328</v>
      </c>
      <c r="E276" s="365">
        <v>0</v>
      </c>
      <c r="F276" s="365">
        <v>0</v>
      </c>
      <c r="G276" s="365">
        <v>0</v>
      </c>
      <c r="H276" s="365">
        <v>0</v>
      </c>
      <c r="I276" s="365">
        <v>0</v>
      </c>
      <c r="J276" s="365">
        <v>0</v>
      </c>
      <c r="K276" s="365">
        <v>0</v>
      </c>
      <c r="L276" s="399">
        <v>0</v>
      </c>
      <c r="M276" s="328">
        <f t="shared" si="130"/>
        <v>1.4289723446420693E-2</v>
      </c>
      <c r="N276" s="330">
        <f t="shared" si="131"/>
        <v>2.5629025956195553E-2</v>
      </c>
      <c r="O276" s="364">
        <v>6.0202870732732811E-4</v>
      </c>
      <c r="P276" s="365">
        <v>0.11524465579861289</v>
      </c>
      <c r="Q276" s="365">
        <v>0.16597294313828237</v>
      </c>
      <c r="R276" s="365">
        <v>0</v>
      </c>
      <c r="S276" s="365">
        <v>0</v>
      </c>
      <c r="T276" s="365">
        <v>0</v>
      </c>
      <c r="U276" s="365">
        <v>0</v>
      </c>
      <c r="V276" s="365">
        <v>0</v>
      </c>
      <c r="W276" s="365">
        <v>0</v>
      </c>
      <c r="X276" s="365">
        <v>0</v>
      </c>
      <c r="Y276" s="399">
        <v>0</v>
      </c>
      <c r="Z276" s="328">
        <f t="shared" si="132"/>
        <v>1.0132938614614806E-2</v>
      </c>
      <c r="AA276" s="330">
        <f t="shared" si="133"/>
        <v>1.809575796276925E-2</v>
      </c>
      <c r="AB276" s="1056">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1057">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334">
        <f t="shared" si="140"/>
        <v>0</v>
      </c>
      <c r="AE276" s="1043">
        <f t="shared" ref="AE276" si="141">SUMPRODUCT($B$74:$L$74,B276:L276)</f>
        <v>1.4289723446420693E-2</v>
      </c>
      <c r="AF276" s="1043">
        <f t="shared" ref="AF276" si="142">SUMPRODUCT($O$74:$Y$74,O276:Y276)</f>
        <v>1.0132938614614806E-2</v>
      </c>
      <c r="AG276" s="1043">
        <f t="shared" ref="AG276" si="143">SUM(AE276:AF276)</f>
        <v>2.4422662061035501E-2</v>
      </c>
      <c r="AH276" s="1280">
        <f t="shared" ref="AH276" si="144">IF(AG276&gt;0,AE276/AG276,0)</f>
        <v>0.58510097755554913</v>
      </c>
      <c r="AI276" s="1043">
        <f t="shared" ref="AI276" si="145">IF(AG276&gt;0,AF276/AG276,0)</f>
        <v>0.41489902244445082</v>
      </c>
    </row>
    <row r="277" spans="1:39" x14ac:dyDescent="0.2">
      <c r="B277" s="245" t="str">
        <f>B$120</f>
        <v>Output generated: 2/21/2020 18:23</v>
      </c>
      <c r="O277" s="245" t="str">
        <f>O$120</f>
        <v>Output generated: 2/21/2020 18:23</v>
      </c>
      <c r="AE277" s="1043"/>
      <c r="AF277" s="1043"/>
      <c r="AG277" s="1043"/>
      <c r="AH277" s="1043"/>
      <c r="AI277" s="1043"/>
    </row>
    <row r="278" spans="1:39" x14ac:dyDescent="0.2">
      <c r="AE278" s="1043"/>
      <c r="AF278" s="1043"/>
      <c r="AG278" s="1043"/>
      <c r="AH278" s="1043"/>
      <c r="AI278" s="1043"/>
    </row>
    <row r="279" spans="1:39" ht="13.5" thickBot="1" x14ac:dyDescent="0.25">
      <c r="AE279" s="1043"/>
      <c r="AF279" s="1043"/>
      <c r="AG279" s="1043"/>
      <c r="AH279" s="1043"/>
      <c r="AI279" s="1043"/>
    </row>
    <row r="280" spans="1:39" ht="15" x14ac:dyDescent="0.25">
      <c r="A280" s="351"/>
      <c r="B280" s="1561" t="s">
        <v>268</v>
      </c>
      <c r="C280" s="1562"/>
      <c r="D280" s="1562"/>
      <c r="E280" s="1562"/>
      <c r="F280" s="1562"/>
      <c r="G280" s="1562"/>
      <c r="H280" s="1562"/>
      <c r="I280" s="1562"/>
      <c r="J280" s="1562"/>
      <c r="K280" s="1562"/>
      <c r="L280" s="1562"/>
      <c r="M280" s="1562"/>
      <c r="N280" s="1563"/>
      <c r="O280" s="1561" t="s">
        <v>269</v>
      </c>
      <c r="P280" s="1562"/>
      <c r="Q280" s="1562"/>
      <c r="R280" s="1562"/>
      <c r="S280" s="1562"/>
      <c r="T280" s="1562"/>
      <c r="U280" s="1562"/>
      <c r="V280" s="1562"/>
      <c r="W280" s="1562"/>
      <c r="X280" s="1562"/>
      <c r="Y280" s="1562"/>
      <c r="Z280" s="1562"/>
      <c r="AA280" s="1563"/>
      <c r="AE280" s="1043"/>
      <c r="AF280" s="1043"/>
      <c r="AG280" s="1043"/>
      <c r="AH280" s="1043"/>
      <c r="AI280" s="1043"/>
    </row>
    <row r="281" spans="1:39" x14ac:dyDescent="0.2">
      <c r="A281" s="342"/>
      <c r="B281" s="1558" t="s">
        <v>121</v>
      </c>
      <c r="C281" s="1559"/>
      <c r="D281" s="1559"/>
      <c r="E281" s="1559"/>
      <c r="F281" s="1559"/>
      <c r="G281" s="1559"/>
      <c r="H281" s="1559"/>
      <c r="I281" s="1559"/>
      <c r="J281" s="1559"/>
      <c r="K281" s="1559"/>
      <c r="L281" s="1559"/>
      <c r="M281" s="400"/>
      <c r="N281" s="343"/>
      <c r="O281" s="1558" t="s">
        <v>121</v>
      </c>
      <c r="P281" s="1559"/>
      <c r="Q281" s="1559"/>
      <c r="R281" s="1559"/>
      <c r="S281" s="1559"/>
      <c r="T281" s="1559"/>
      <c r="U281" s="1559"/>
      <c r="V281" s="1559"/>
      <c r="W281" s="1559"/>
      <c r="X281" s="1559"/>
      <c r="Y281" s="1559"/>
      <c r="Z281" s="400"/>
      <c r="AA281" s="343"/>
      <c r="AC281" s="1060" t="s">
        <v>276</v>
      </c>
      <c r="AD281" s="252" t="b">
        <f>INDEX(TECH_OPT_FUEL2_Cls2,MATCH(RIGHT(O280),TECH_OPT_ROWS_Cls2,0))&lt;&gt;"N/A"</f>
        <v>0</v>
      </c>
      <c r="AE281" s="1043"/>
      <c r="AF281" s="1043"/>
      <c r="AG281" s="1043"/>
      <c r="AH281" s="1043"/>
      <c r="AI281" s="1043"/>
    </row>
    <row r="282" spans="1:39"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2"/>
      <c r="AC282" s="1060" t="s">
        <v>277</v>
      </c>
      <c r="AD282" s="252">
        <f>MATCH(RIGHT(O280),TECH_OPT_ROWS_Cls2,0)</f>
        <v>6</v>
      </c>
      <c r="AE282" s="1043"/>
      <c r="AF282" s="1043"/>
      <c r="AG282" s="1043"/>
      <c r="AH282" s="1043"/>
      <c r="AI282" s="1043"/>
    </row>
    <row r="283" spans="1:39" ht="14.25" thickTop="1" thickBot="1" x14ac:dyDescent="0.25">
      <c r="A283" s="366" t="s">
        <v>124</v>
      </c>
      <c r="B283" s="358">
        <f t="array" ref="B283:L283">TRANSPOSE(Cls2CentTruckShr)</f>
        <v>3.9559734044076443E-2</v>
      </c>
      <c r="C283" s="359">
        <v>8.9650908809480775E-2</v>
      </c>
      <c r="D283" s="359">
        <v>9.1857251580802685E-2</v>
      </c>
      <c r="E283" s="359">
        <v>9.271536797287637E-2</v>
      </c>
      <c r="F283" s="359">
        <v>0.10920126324528824</v>
      </c>
      <c r="G283" s="359">
        <v>4.7813378096654632E-2</v>
      </c>
      <c r="H283" s="359">
        <v>5.2826626309680449E-2</v>
      </c>
      <c r="I283" s="359">
        <v>3.3324854637922362E-2</v>
      </c>
      <c r="J283" s="359">
        <v>1.4796369103015083E-2</v>
      </c>
      <c r="K283" s="359">
        <v>6.5522293759777608E-3</v>
      </c>
      <c r="L283" s="396">
        <v>1.1207747736094297E-2</v>
      </c>
      <c r="M283" s="402"/>
      <c r="N283" s="354"/>
      <c r="O283" s="358">
        <f t="array" ref="O283:Y283">TRANSPOSE(Cls2NCentTruckShr)</f>
        <v>4.6052840844996765E-2</v>
      </c>
      <c r="P283" s="359">
        <v>6.7033462620106746E-2</v>
      </c>
      <c r="Q283" s="359">
        <v>6.2316087841293416E-2</v>
      </c>
      <c r="R283" s="359">
        <v>6.9108422941336428E-2</v>
      </c>
      <c r="S283" s="359">
        <v>7.8222088301235171E-2</v>
      </c>
      <c r="T283" s="359">
        <v>3.5529474750239771E-2</v>
      </c>
      <c r="U283" s="359">
        <v>3.0248313910710867E-2</v>
      </c>
      <c r="V283" s="359">
        <v>8.2628405675757074E-3</v>
      </c>
      <c r="W283" s="359">
        <v>6.4250307191884484E-3</v>
      </c>
      <c r="X283" s="359">
        <v>1.9993158802676368E-3</v>
      </c>
      <c r="Y283" s="1317">
        <v>5.2963907111801883E-3</v>
      </c>
      <c r="Z283" s="1322"/>
      <c r="AA283" s="1323"/>
    </row>
    <row r="284" spans="1:39" x14ac:dyDescent="0.2">
      <c r="A284" s="349" t="s">
        <v>125</v>
      </c>
      <c r="B284" s="1029">
        <f t="array" ref="B284:L284">TRANSPOSE(Cls2CentVMTShr)</f>
        <v>6.3375455551975849E-3</v>
      </c>
      <c r="C284" s="1030">
        <v>3.496913005496359E-2</v>
      </c>
      <c r="D284" s="1030">
        <v>5.9955127131675522E-2</v>
      </c>
      <c r="E284" s="1030">
        <v>8.4599669387910512E-2</v>
      </c>
      <c r="F284" s="1030">
        <v>0.12702701008436962</v>
      </c>
      <c r="G284" s="1030">
        <v>6.7204731283582092E-2</v>
      </c>
      <c r="H284" s="1030">
        <v>8.8708982453757024E-2</v>
      </c>
      <c r="I284" s="1030">
        <v>6.4694225377098208E-2</v>
      </c>
      <c r="J284" s="1030">
        <v>3.2526447027526634E-2</v>
      </c>
      <c r="K284" s="1030">
        <v>1.589064319454132E-2</v>
      </c>
      <c r="L284" s="1318">
        <v>3.2608183213810787E-2</v>
      </c>
      <c r="M284" s="1319"/>
      <c r="N284" s="1320"/>
      <c r="O284" s="1029">
        <f t="array" ref="O284:Y284">TRANSPOSE(Cls2NCentVMTShr)</f>
        <v>8.1228463417563086E-3</v>
      </c>
      <c r="P284" s="1030">
        <v>2.7563836768431361E-2</v>
      </c>
      <c r="Q284" s="1030">
        <v>4.1883113088337191E-2</v>
      </c>
      <c r="R284" s="1030">
        <v>6.4289357588678764E-2</v>
      </c>
      <c r="S284" s="1030">
        <v>9.1183275251204537E-2</v>
      </c>
      <c r="T284" s="1030">
        <v>5.1984283219922628E-2</v>
      </c>
      <c r="U284" s="1030">
        <v>5.0286059545109812E-2</v>
      </c>
      <c r="V284" s="1030">
        <v>1.5542287574292338E-2</v>
      </c>
      <c r="W284" s="1030">
        <v>1.4506257462625264E-2</v>
      </c>
      <c r="X284" s="1030">
        <v>4.9330966304706684E-3</v>
      </c>
      <c r="Y284" s="1031">
        <v>1.5183891764738403E-2</v>
      </c>
      <c r="Z284" s="1319"/>
      <c r="AA284" s="1320"/>
      <c r="AB284" s="1574" t="str">
        <f>"% of miles on f2 for Tech "&amp; RIGHT(O279)&amp;" adopters"</f>
        <v>% of miles on f2 for Tech  adopters</v>
      </c>
      <c r="AC284" s="1575"/>
      <c r="AD284" s="1576"/>
      <c r="AE284" s="1043" t="s">
        <v>309</v>
      </c>
      <c r="AF284" s="1043"/>
      <c r="AG284" s="1043"/>
      <c r="AH284" s="1280" t="s">
        <v>308</v>
      </c>
      <c r="AI284" s="1043"/>
    </row>
    <row r="285" spans="1:39" ht="13.5" thickBot="1" x14ac:dyDescent="0.25">
      <c r="A285" s="1048" t="s">
        <v>275</v>
      </c>
      <c r="B285" s="1039">
        <f t="array" ref="B285:L285">TRANSPOSE(Cls2CentVMT/OPDAYS_Cls2)</f>
        <v>49.332453271995263</v>
      </c>
      <c r="C285" s="1040">
        <v>120.11441047790339</v>
      </c>
      <c r="D285" s="1040">
        <v>200.99157969807086</v>
      </c>
      <c r="E285" s="1040">
        <v>280.98421424125928</v>
      </c>
      <c r="F285" s="1040">
        <v>358.20644524895255</v>
      </c>
      <c r="G285" s="1040">
        <v>432.82805471770689</v>
      </c>
      <c r="H285" s="1040">
        <v>517.10615118099815</v>
      </c>
      <c r="I285" s="1040">
        <v>597.8087063838957</v>
      </c>
      <c r="J285" s="1040">
        <v>676.93419409560215</v>
      </c>
      <c r="K285" s="1040">
        <v>746.82245226325631</v>
      </c>
      <c r="L285" s="1041">
        <v>895.92826380844349</v>
      </c>
      <c r="M285" s="1037"/>
      <c r="N285" s="1038"/>
      <c r="O285" s="1039">
        <f t="array" ref="O285:Y285">TRANSPOSE(Cls2NCentVMT/OPDAYS_Cls2)</f>
        <v>54.31462614952413</v>
      </c>
      <c r="P285" s="1040">
        <v>126.62311644744663</v>
      </c>
      <c r="Q285" s="1040">
        <v>206.96826351576016</v>
      </c>
      <c r="R285" s="1040">
        <v>286.46600131499179</v>
      </c>
      <c r="S285" s="1040">
        <v>358.9638908170715</v>
      </c>
      <c r="T285" s="1040">
        <v>450.55545819643328</v>
      </c>
      <c r="U285" s="1040">
        <v>511.93098482414172</v>
      </c>
      <c r="V285" s="1040">
        <v>579.22933632093111</v>
      </c>
      <c r="W285" s="1040">
        <v>695.25665569614875</v>
      </c>
      <c r="X285" s="1040">
        <v>759.80682330760794</v>
      </c>
      <c r="Y285" s="1321">
        <v>882.81167173661356</v>
      </c>
      <c r="Z285" s="1049"/>
      <c r="AA285" s="1038"/>
      <c r="AB285" s="1051" t="s">
        <v>188</v>
      </c>
      <c r="AC285" s="1052" t="s">
        <v>15</v>
      </c>
      <c r="AD285" s="1053" t="s">
        <v>18</v>
      </c>
      <c r="AE285" s="1043" t="s">
        <v>188</v>
      </c>
      <c r="AF285" s="1043" t="s">
        <v>15</v>
      </c>
      <c r="AG285" s="1043" t="s">
        <v>18</v>
      </c>
      <c r="AH285" s="1280" t="s">
        <v>188</v>
      </c>
      <c r="AI285" s="1043" t="s">
        <v>15</v>
      </c>
      <c r="AJ285" s="341"/>
      <c r="AK285" s="341"/>
      <c r="AL285" s="341"/>
      <c r="AM285" s="341"/>
    </row>
    <row r="286" spans="1:39" ht="13.5" thickTop="1" x14ac:dyDescent="0.2">
      <c r="A286" s="344">
        <v>2007</v>
      </c>
      <c r="B286" s="360">
        <v>0</v>
      </c>
      <c r="C286" s="361">
        <v>0</v>
      </c>
      <c r="D286" s="361">
        <v>0</v>
      </c>
      <c r="E286" s="361">
        <v>0</v>
      </c>
      <c r="F286" s="361">
        <v>0</v>
      </c>
      <c r="G286" s="361">
        <v>0</v>
      </c>
      <c r="H286" s="361">
        <v>0</v>
      </c>
      <c r="I286" s="361">
        <v>0</v>
      </c>
      <c r="J286" s="361">
        <v>0</v>
      </c>
      <c r="K286" s="361">
        <v>0</v>
      </c>
      <c r="L286" s="397">
        <v>0</v>
      </c>
      <c r="M286" s="300">
        <f>SUMPRODUCT($B$178:$L$178,$B286:$L286)</f>
        <v>0</v>
      </c>
      <c r="N286" s="302">
        <f>SUMPRODUCT($B$177:$L$177,$B286:$L286)</f>
        <v>0</v>
      </c>
      <c r="O286" s="360">
        <v>0</v>
      </c>
      <c r="P286" s="361">
        <v>0</v>
      </c>
      <c r="Q286" s="361">
        <v>0</v>
      </c>
      <c r="R286" s="361">
        <v>0</v>
      </c>
      <c r="S286" s="361">
        <v>0</v>
      </c>
      <c r="T286" s="361">
        <v>0</v>
      </c>
      <c r="U286" s="361">
        <v>0</v>
      </c>
      <c r="V286" s="361">
        <v>0</v>
      </c>
      <c r="W286" s="361">
        <v>0</v>
      </c>
      <c r="X286" s="361">
        <v>0</v>
      </c>
      <c r="Y286" s="397">
        <v>0</v>
      </c>
      <c r="Z286" s="405">
        <f>SUMPRODUCT($O$178:$Y$178,$O286:$Y286)</f>
        <v>0</v>
      </c>
      <c r="AA286" s="302">
        <f>SUMPRODUCT($O$177:$Y$177,$O286:$Y286)</f>
        <v>0</v>
      </c>
      <c r="AB286" s="1054">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1055">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334">
        <f>AB286*AH286+AC286*AI286</f>
        <v>0</v>
      </c>
      <c r="AE286" s="1043">
        <f t="shared" ref="AE286:AE300" si="146">SUMPRODUCT($B$74:$L$74,B286:L286)</f>
        <v>0</v>
      </c>
      <c r="AF286" s="1043">
        <f t="shared" ref="AF286:AF300" si="147">SUMPRODUCT($O$74:$Y$74,O286:Y286)</f>
        <v>0</v>
      </c>
      <c r="AG286" s="1043">
        <f t="shared" ref="AG286:AG300" si="148">SUM(AE286:AF286)</f>
        <v>0</v>
      </c>
      <c r="AH286" s="1280">
        <f>IF(AG286&gt;0,AE286/AG286,0)</f>
        <v>0</v>
      </c>
      <c r="AI286" s="1043">
        <f>IF(AG286&gt;0,AF286/AG286,0)</f>
        <v>0</v>
      </c>
    </row>
    <row r="287" spans="1:39"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49">SUMPRODUCT($B$178:$L$178,$B287:$L287)</f>
        <v>0</v>
      </c>
      <c r="N287" s="316">
        <f t="shared" ref="N287:N329" si="150">SUMPRODUCT($B$177:$L$177,$B287:$L287)</f>
        <v>0</v>
      </c>
      <c r="O287" s="362">
        <v>0</v>
      </c>
      <c r="P287" s="363">
        <v>0</v>
      </c>
      <c r="Q287" s="363">
        <v>0</v>
      </c>
      <c r="R287" s="363">
        <v>0</v>
      </c>
      <c r="S287" s="363">
        <v>0</v>
      </c>
      <c r="T287" s="363">
        <v>0</v>
      </c>
      <c r="U287" s="363">
        <v>0</v>
      </c>
      <c r="V287" s="363">
        <v>0</v>
      </c>
      <c r="W287" s="363">
        <v>0</v>
      </c>
      <c r="X287" s="363">
        <v>0</v>
      </c>
      <c r="Y287" s="398">
        <v>0</v>
      </c>
      <c r="Z287" s="314">
        <f t="shared" ref="Z287:Z329" si="151">SUMPRODUCT($O$178:$Y$178,$O287:$Y287)</f>
        <v>0</v>
      </c>
      <c r="AA287" s="316">
        <f t="shared" ref="AA287:AA329" si="152">SUMPRODUCT($O$177:$Y$177,$O287:$Y287)</f>
        <v>0</v>
      </c>
      <c r="AB287" s="1054">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1055">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334">
        <f t="shared" ref="AD287:AD311" si="153">AB287*AH287+AC287*AI287</f>
        <v>0</v>
      </c>
      <c r="AE287" s="1043">
        <f t="shared" si="146"/>
        <v>0</v>
      </c>
      <c r="AF287" s="1043">
        <f t="shared" si="147"/>
        <v>0</v>
      </c>
      <c r="AG287" s="1043">
        <f t="shared" si="148"/>
        <v>0</v>
      </c>
      <c r="AH287" s="1280">
        <f t="shared" ref="AH287:AH328" si="154">IF(AG287&gt;0,AE287/AG287,0)</f>
        <v>0</v>
      </c>
      <c r="AI287" s="1043">
        <f t="shared" ref="AI287:AI328" si="155">IF(AG287&gt;0,AF287/AG287,0)</f>
        <v>0</v>
      </c>
    </row>
    <row r="288" spans="1:39" x14ac:dyDescent="0.2">
      <c r="A288" s="345">
        <v>2009</v>
      </c>
      <c r="B288" s="362">
        <v>0</v>
      </c>
      <c r="C288" s="363">
        <v>0</v>
      </c>
      <c r="D288" s="363">
        <v>0</v>
      </c>
      <c r="E288" s="363">
        <v>0</v>
      </c>
      <c r="F288" s="363">
        <v>0</v>
      </c>
      <c r="G288" s="363">
        <v>0</v>
      </c>
      <c r="H288" s="363">
        <v>0</v>
      </c>
      <c r="I288" s="363">
        <v>0</v>
      </c>
      <c r="J288" s="363">
        <v>0</v>
      </c>
      <c r="K288" s="363">
        <v>0</v>
      </c>
      <c r="L288" s="398">
        <v>0</v>
      </c>
      <c r="M288" s="314">
        <f t="shared" si="149"/>
        <v>0</v>
      </c>
      <c r="N288" s="316">
        <f t="shared" si="150"/>
        <v>0</v>
      </c>
      <c r="O288" s="362">
        <v>0</v>
      </c>
      <c r="P288" s="363">
        <v>0</v>
      </c>
      <c r="Q288" s="363">
        <v>0</v>
      </c>
      <c r="R288" s="363">
        <v>0</v>
      </c>
      <c r="S288" s="363">
        <v>0</v>
      </c>
      <c r="T288" s="363">
        <v>0</v>
      </c>
      <c r="U288" s="363">
        <v>0</v>
      </c>
      <c r="V288" s="363">
        <v>0</v>
      </c>
      <c r="W288" s="363">
        <v>0</v>
      </c>
      <c r="X288" s="363">
        <v>0</v>
      </c>
      <c r="Y288" s="398">
        <v>0</v>
      </c>
      <c r="Z288" s="314">
        <f t="shared" si="151"/>
        <v>0</v>
      </c>
      <c r="AA288" s="316">
        <f t="shared" si="152"/>
        <v>0</v>
      </c>
      <c r="AB288" s="1054">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1055">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334">
        <f t="shared" si="153"/>
        <v>0</v>
      </c>
      <c r="AE288" s="1043">
        <f t="shared" si="146"/>
        <v>0</v>
      </c>
      <c r="AF288" s="1043">
        <f t="shared" si="147"/>
        <v>0</v>
      </c>
      <c r="AG288" s="1043">
        <f t="shared" si="148"/>
        <v>0</v>
      </c>
      <c r="AH288" s="1280">
        <f t="shared" si="154"/>
        <v>0</v>
      </c>
      <c r="AI288" s="1043">
        <f t="shared" si="15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49"/>
        <v>0</v>
      </c>
      <c r="N289" s="330">
        <f t="shared" si="150"/>
        <v>0</v>
      </c>
      <c r="O289" s="364">
        <v>0</v>
      </c>
      <c r="P289" s="365">
        <v>0</v>
      </c>
      <c r="Q289" s="365">
        <v>0</v>
      </c>
      <c r="R289" s="365">
        <v>0</v>
      </c>
      <c r="S289" s="365">
        <v>0</v>
      </c>
      <c r="T289" s="365">
        <v>0</v>
      </c>
      <c r="U289" s="365">
        <v>0</v>
      </c>
      <c r="V289" s="365">
        <v>0</v>
      </c>
      <c r="W289" s="365">
        <v>0</v>
      </c>
      <c r="X289" s="365">
        <v>0</v>
      </c>
      <c r="Y289" s="399">
        <v>0</v>
      </c>
      <c r="Z289" s="328">
        <f t="shared" si="151"/>
        <v>0</v>
      </c>
      <c r="AA289" s="330">
        <f t="shared" si="152"/>
        <v>0</v>
      </c>
      <c r="AB289" s="1054">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1055">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334">
        <f t="shared" si="153"/>
        <v>0</v>
      </c>
      <c r="AE289" s="1043">
        <f t="shared" si="146"/>
        <v>0</v>
      </c>
      <c r="AF289" s="1043">
        <f t="shared" si="147"/>
        <v>0</v>
      </c>
      <c r="AG289" s="1043">
        <f t="shared" si="148"/>
        <v>0</v>
      </c>
      <c r="AH289" s="1280">
        <f t="shared" si="154"/>
        <v>0</v>
      </c>
      <c r="AI289" s="1043">
        <f t="shared" si="15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49"/>
        <v>0</v>
      </c>
      <c r="N290" s="302">
        <f t="shared" si="150"/>
        <v>0</v>
      </c>
      <c r="O290" s="360">
        <v>0</v>
      </c>
      <c r="P290" s="361">
        <v>0</v>
      </c>
      <c r="Q290" s="361">
        <v>0</v>
      </c>
      <c r="R290" s="361">
        <v>0</v>
      </c>
      <c r="S290" s="361">
        <v>0</v>
      </c>
      <c r="T290" s="361">
        <v>0</v>
      </c>
      <c r="U290" s="361">
        <v>0</v>
      </c>
      <c r="V290" s="361">
        <v>0</v>
      </c>
      <c r="W290" s="361">
        <v>0</v>
      </c>
      <c r="X290" s="361">
        <v>0</v>
      </c>
      <c r="Y290" s="397">
        <v>0</v>
      </c>
      <c r="Z290" s="300">
        <f t="shared" si="151"/>
        <v>0</v>
      </c>
      <c r="AA290" s="302">
        <f t="shared" si="152"/>
        <v>0</v>
      </c>
      <c r="AB290" s="1054">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1055">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334">
        <f t="shared" si="153"/>
        <v>0</v>
      </c>
      <c r="AE290" s="1043">
        <f t="shared" si="146"/>
        <v>0</v>
      </c>
      <c r="AF290" s="1043">
        <f t="shared" si="147"/>
        <v>0</v>
      </c>
      <c r="AG290" s="1043">
        <f t="shared" si="148"/>
        <v>0</v>
      </c>
      <c r="AH290" s="1280">
        <f t="shared" si="154"/>
        <v>0</v>
      </c>
      <c r="AI290" s="1043">
        <f t="shared" si="15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49"/>
        <v>0</v>
      </c>
      <c r="N291" s="316">
        <f t="shared" si="150"/>
        <v>0</v>
      </c>
      <c r="O291" s="362">
        <v>0</v>
      </c>
      <c r="P291" s="363">
        <v>0</v>
      </c>
      <c r="Q291" s="363">
        <v>0</v>
      </c>
      <c r="R291" s="363">
        <v>0</v>
      </c>
      <c r="S291" s="363">
        <v>0</v>
      </c>
      <c r="T291" s="363">
        <v>0</v>
      </c>
      <c r="U291" s="363">
        <v>0</v>
      </c>
      <c r="V291" s="363">
        <v>0</v>
      </c>
      <c r="W291" s="363">
        <v>0</v>
      </c>
      <c r="X291" s="363">
        <v>0</v>
      </c>
      <c r="Y291" s="398">
        <v>0</v>
      </c>
      <c r="Z291" s="314">
        <f t="shared" si="151"/>
        <v>0</v>
      </c>
      <c r="AA291" s="316">
        <f t="shared" si="152"/>
        <v>0</v>
      </c>
      <c r="AB291" s="1054">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1055">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334">
        <f t="shared" si="153"/>
        <v>0</v>
      </c>
      <c r="AE291" s="1043">
        <f t="shared" si="146"/>
        <v>0</v>
      </c>
      <c r="AF291" s="1043">
        <f t="shared" si="147"/>
        <v>0</v>
      </c>
      <c r="AG291" s="1043">
        <f t="shared" si="148"/>
        <v>0</v>
      </c>
      <c r="AH291" s="1280">
        <f t="shared" si="154"/>
        <v>0</v>
      </c>
      <c r="AI291" s="1043">
        <f t="shared" si="15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49"/>
        <v>0</v>
      </c>
      <c r="N292" s="316">
        <f t="shared" si="150"/>
        <v>0</v>
      </c>
      <c r="O292" s="362">
        <v>0</v>
      </c>
      <c r="P292" s="363">
        <v>0</v>
      </c>
      <c r="Q292" s="363">
        <v>0</v>
      </c>
      <c r="R292" s="363">
        <v>0</v>
      </c>
      <c r="S292" s="363">
        <v>0</v>
      </c>
      <c r="T292" s="363">
        <v>0</v>
      </c>
      <c r="U292" s="363">
        <v>0</v>
      </c>
      <c r="V292" s="363">
        <v>0</v>
      </c>
      <c r="W292" s="363">
        <v>0</v>
      </c>
      <c r="X292" s="363">
        <v>0</v>
      </c>
      <c r="Y292" s="398">
        <v>0</v>
      </c>
      <c r="Z292" s="314">
        <f t="shared" si="151"/>
        <v>0</v>
      </c>
      <c r="AA292" s="316">
        <f t="shared" si="152"/>
        <v>0</v>
      </c>
      <c r="AB292" s="1054">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1055">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334">
        <f t="shared" si="153"/>
        <v>0</v>
      </c>
      <c r="AE292" s="1043">
        <f t="shared" si="146"/>
        <v>0</v>
      </c>
      <c r="AF292" s="1043">
        <f t="shared" si="147"/>
        <v>0</v>
      </c>
      <c r="AG292" s="1043">
        <f t="shared" si="148"/>
        <v>0</v>
      </c>
      <c r="AH292" s="1280">
        <f t="shared" si="154"/>
        <v>0</v>
      </c>
      <c r="AI292" s="1043">
        <f t="shared" si="15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49"/>
        <v>0</v>
      </c>
      <c r="N293" s="316">
        <f t="shared" si="150"/>
        <v>0</v>
      </c>
      <c r="O293" s="362">
        <v>0</v>
      </c>
      <c r="P293" s="363">
        <v>0</v>
      </c>
      <c r="Q293" s="363">
        <v>0</v>
      </c>
      <c r="R293" s="363">
        <v>0</v>
      </c>
      <c r="S293" s="363">
        <v>0</v>
      </c>
      <c r="T293" s="363">
        <v>0</v>
      </c>
      <c r="U293" s="363">
        <v>0</v>
      </c>
      <c r="V293" s="363">
        <v>0</v>
      </c>
      <c r="W293" s="363">
        <v>0</v>
      </c>
      <c r="X293" s="363">
        <v>0</v>
      </c>
      <c r="Y293" s="398">
        <v>0</v>
      </c>
      <c r="Z293" s="314">
        <f t="shared" si="151"/>
        <v>0</v>
      </c>
      <c r="AA293" s="316">
        <f t="shared" si="152"/>
        <v>0</v>
      </c>
      <c r="AB293" s="1054">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1055">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334">
        <f t="shared" si="153"/>
        <v>0</v>
      </c>
      <c r="AE293" s="1043">
        <f t="shared" si="146"/>
        <v>0</v>
      </c>
      <c r="AF293" s="1043">
        <f t="shared" si="147"/>
        <v>0</v>
      </c>
      <c r="AG293" s="1043">
        <f t="shared" si="148"/>
        <v>0</v>
      </c>
      <c r="AH293" s="1280">
        <f t="shared" si="154"/>
        <v>0</v>
      </c>
      <c r="AI293" s="1043">
        <f t="shared" si="15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49"/>
        <v>0</v>
      </c>
      <c r="N294" s="330">
        <f t="shared" si="150"/>
        <v>0</v>
      </c>
      <c r="O294" s="364">
        <v>0</v>
      </c>
      <c r="P294" s="365">
        <v>0</v>
      </c>
      <c r="Q294" s="365">
        <v>0</v>
      </c>
      <c r="R294" s="365">
        <v>0</v>
      </c>
      <c r="S294" s="365">
        <v>0</v>
      </c>
      <c r="T294" s="365">
        <v>0</v>
      </c>
      <c r="U294" s="365">
        <v>0</v>
      </c>
      <c r="V294" s="365">
        <v>0</v>
      </c>
      <c r="W294" s="365">
        <v>0</v>
      </c>
      <c r="X294" s="365">
        <v>0</v>
      </c>
      <c r="Y294" s="399">
        <v>0</v>
      </c>
      <c r="Z294" s="328">
        <f t="shared" si="151"/>
        <v>0</v>
      </c>
      <c r="AA294" s="330">
        <f t="shared" si="152"/>
        <v>0</v>
      </c>
      <c r="AB294" s="1054">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1055">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334">
        <f t="shared" si="153"/>
        <v>0</v>
      </c>
      <c r="AE294" s="1043">
        <f t="shared" si="146"/>
        <v>0</v>
      </c>
      <c r="AF294" s="1043">
        <f t="shared" si="147"/>
        <v>0</v>
      </c>
      <c r="AG294" s="1043">
        <f t="shared" si="148"/>
        <v>0</v>
      </c>
      <c r="AH294" s="1280">
        <f t="shared" si="154"/>
        <v>0</v>
      </c>
      <c r="AI294" s="1043">
        <f t="shared" si="15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49"/>
        <v>0</v>
      </c>
      <c r="N295" s="302">
        <f t="shared" si="150"/>
        <v>0</v>
      </c>
      <c r="O295" s="360">
        <v>0</v>
      </c>
      <c r="P295" s="361">
        <v>0</v>
      </c>
      <c r="Q295" s="361">
        <v>0</v>
      </c>
      <c r="R295" s="361">
        <v>0</v>
      </c>
      <c r="S295" s="361">
        <v>0</v>
      </c>
      <c r="T295" s="361">
        <v>0</v>
      </c>
      <c r="U295" s="361">
        <v>0</v>
      </c>
      <c r="V295" s="361">
        <v>0</v>
      </c>
      <c r="W295" s="361">
        <v>0</v>
      </c>
      <c r="X295" s="361">
        <v>0</v>
      </c>
      <c r="Y295" s="397">
        <v>0</v>
      </c>
      <c r="Z295" s="300">
        <f t="shared" si="151"/>
        <v>0</v>
      </c>
      <c r="AA295" s="302">
        <f t="shared" si="152"/>
        <v>0</v>
      </c>
      <c r="AB295" s="1054">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1055">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334">
        <f t="shared" si="153"/>
        <v>0</v>
      </c>
      <c r="AE295" s="1043">
        <f t="shared" si="146"/>
        <v>0</v>
      </c>
      <c r="AF295" s="1043">
        <f t="shared" si="147"/>
        <v>0</v>
      </c>
      <c r="AG295" s="1043">
        <f t="shared" si="148"/>
        <v>0</v>
      </c>
      <c r="AH295" s="1280">
        <f t="shared" si="154"/>
        <v>0</v>
      </c>
      <c r="AI295" s="1043">
        <f t="shared" si="15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49"/>
        <v>0</v>
      </c>
      <c r="N296" s="316">
        <f t="shared" si="150"/>
        <v>0</v>
      </c>
      <c r="O296" s="362">
        <v>0</v>
      </c>
      <c r="P296" s="363">
        <v>0</v>
      </c>
      <c r="Q296" s="363">
        <v>0</v>
      </c>
      <c r="R296" s="363">
        <v>0</v>
      </c>
      <c r="S296" s="363">
        <v>0</v>
      </c>
      <c r="T296" s="363">
        <v>0</v>
      </c>
      <c r="U296" s="363">
        <v>0</v>
      </c>
      <c r="V296" s="363">
        <v>0</v>
      </c>
      <c r="W296" s="363">
        <v>0</v>
      </c>
      <c r="X296" s="363">
        <v>0</v>
      </c>
      <c r="Y296" s="398">
        <v>0</v>
      </c>
      <c r="Z296" s="314">
        <f t="shared" si="151"/>
        <v>0</v>
      </c>
      <c r="AA296" s="316">
        <f t="shared" si="152"/>
        <v>0</v>
      </c>
      <c r="AB296" s="1054">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1055">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334">
        <f t="shared" si="153"/>
        <v>0</v>
      </c>
      <c r="AE296" s="1043">
        <f t="shared" si="146"/>
        <v>0</v>
      </c>
      <c r="AF296" s="1043">
        <f t="shared" si="147"/>
        <v>0</v>
      </c>
      <c r="AG296" s="1043">
        <f t="shared" si="148"/>
        <v>0</v>
      </c>
      <c r="AH296" s="1280">
        <f t="shared" si="154"/>
        <v>0</v>
      </c>
      <c r="AI296" s="1043">
        <f t="shared" si="15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49"/>
        <v>0</v>
      </c>
      <c r="N297" s="316">
        <f t="shared" si="150"/>
        <v>0</v>
      </c>
      <c r="O297" s="362">
        <v>0</v>
      </c>
      <c r="P297" s="363">
        <v>0</v>
      </c>
      <c r="Q297" s="363">
        <v>0</v>
      </c>
      <c r="R297" s="363">
        <v>0</v>
      </c>
      <c r="S297" s="363">
        <v>0</v>
      </c>
      <c r="T297" s="363">
        <v>0</v>
      </c>
      <c r="U297" s="363">
        <v>0</v>
      </c>
      <c r="V297" s="363">
        <v>0</v>
      </c>
      <c r="W297" s="363">
        <v>0</v>
      </c>
      <c r="X297" s="363">
        <v>0</v>
      </c>
      <c r="Y297" s="398">
        <v>0</v>
      </c>
      <c r="Z297" s="314">
        <f t="shared" si="151"/>
        <v>0</v>
      </c>
      <c r="AA297" s="316">
        <f t="shared" si="152"/>
        <v>0</v>
      </c>
      <c r="AB297" s="1054">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1055">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334">
        <f t="shared" si="153"/>
        <v>0</v>
      </c>
      <c r="AE297" s="1043">
        <f t="shared" si="146"/>
        <v>0</v>
      </c>
      <c r="AF297" s="1043">
        <f t="shared" si="147"/>
        <v>0</v>
      </c>
      <c r="AG297" s="1043">
        <f t="shared" si="148"/>
        <v>0</v>
      </c>
      <c r="AH297" s="1280">
        <f t="shared" si="154"/>
        <v>0</v>
      </c>
      <c r="AI297" s="1043">
        <f t="shared" si="15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49"/>
        <v>0</v>
      </c>
      <c r="N298" s="316">
        <f t="shared" si="150"/>
        <v>0</v>
      </c>
      <c r="O298" s="362">
        <v>0</v>
      </c>
      <c r="P298" s="363">
        <v>0</v>
      </c>
      <c r="Q298" s="363">
        <v>0</v>
      </c>
      <c r="R298" s="363">
        <v>0</v>
      </c>
      <c r="S298" s="363">
        <v>0</v>
      </c>
      <c r="T298" s="363">
        <v>0</v>
      </c>
      <c r="U298" s="363">
        <v>0</v>
      </c>
      <c r="V298" s="363">
        <v>0</v>
      </c>
      <c r="W298" s="363">
        <v>0</v>
      </c>
      <c r="X298" s="363">
        <v>0</v>
      </c>
      <c r="Y298" s="398">
        <v>0</v>
      </c>
      <c r="Z298" s="314">
        <f t="shared" si="151"/>
        <v>0</v>
      </c>
      <c r="AA298" s="316">
        <f t="shared" si="152"/>
        <v>0</v>
      </c>
      <c r="AB298" s="1054">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1055">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334">
        <f t="shared" si="153"/>
        <v>0</v>
      </c>
      <c r="AE298" s="1043">
        <f t="shared" si="146"/>
        <v>0</v>
      </c>
      <c r="AF298" s="1043">
        <f t="shared" si="147"/>
        <v>0</v>
      </c>
      <c r="AG298" s="1043">
        <f t="shared" si="148"/>
        <v>0</v>
      </c>
      <c r="AH298" s="1280">
        <f t="shared" si="154"/>
        <v>0</v>
      </c>
      <c r="AI298" s="1043">
        <f t="shared" si="15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49"/>
        <v>0</v>
      </c>
      <c r="N299" s="330">
        <f t="shared" si="150"/>
        <v>0</v>
      </c>
      <c r="O299" s="364">
        <v>0</v>
      </c>
      <c r="P299" s="365">
        <v>0</v>
      </c>
      <c r="Q299" s="365">
        <v>0</v>
      </c>
      <c r="R299" s="365">
        <v>0</v>
      </c>
      <c r="S299" s="365">
        <v>0</v>
      </c>
      <c r="T299" s="365">
        <v>0</v>
      </c>
      <c r="U299" s="365">
        <v>0</v>
      </c>
      <c r="V299" s="365">
        <v>0</v>
      </c>
      <c r="W299" s="365">
        <v>0</v>
      </c>
      <c r="X299" s="365">
        <v>0</v>
      </c>
      <c r="Y299" s="399">
        <v>0</v>
      </c>
      <c r="Z299" s="328">
        <f t="shared" si="151"/>
        <v>0</v>
      </c>
      <c r="AA299" s="330">
        <f t="shared" si="152"/>
        <v>0</v>
      </c>
      <c r="AB299" s="1054">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1055">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334">
        <f t="shared" si="153"/>
        <v>0</v>
      </c>
      <c r="AE299" s="1043">
        <f t="shared" si="146"/>
        <v>0</v>
      </c>
      <c r="AF299" s="1043">
        <f t="shared" si="147"/>
        <v>0</v>
      </c>
      <c r="AG299" s="1043">
        <f t="shared" si="148"/>
        <v>0</v>
      </c>
      <c r="AH299" s="1280">
        <f t="shared" si="154"/>
        <v>0</v>
      </c>
      <c r="AI299" s="1043">
        <f t="shared" si="15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49"/>
        <v>0</v>
      </c>
      <c r="N300" s="302">
        <f t="shared" si="150"/>
        <v>0</v>
      </c>
      <c r="O300" s="360">
        <v>0</v>
      </c>
      <c r="P300" s="361">
        <v>0</v>
      </c>
      <c r="Q300" s="361">
        <v>0</v>
      </c>
      <c r="R300" s="361">
        <v>0</v>
      </c>
      <c r="S300" s="361">
        <v>0</v>
      </c>
      <c r="T300" s="361">
        <v>0</v>
      </c>
      <c r="U300" s="361">
        <v>0</v>
      </c>
      <c r="V300" s="361">
        <v>0</v>
      </c>
      <c r="W300" s="361">
        <v>0</v>
      </c>
      <c r="X300" s="361">
        <v>0</v>
      </c>
      <c r="Y300" s="397">
        <v>0</v>
      </c>
      <c r="Z300" s="300">
        <f t="shared" si="151"/>
        <v>0</v>
      </c>
      <c r="AA300" s="302">
        <f t="shared" si="152"/>
        <v>0</v>
      </c>
      <c r="AB300" s="1054">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1055">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334">
        <f t="shared" si="153"/>
        <v>0</v>
      </c>
      <c r="AE300" s="1043">
        <f t="shared" si="146"/>
        <v>0</v>
      </c>
      <c r="AF300" s="1043">
        <f t="shared" si="147"/>
        <v>0</v>
      </c>
      <c r="AG300" s="1043">
        <f t="shared" si="148"/>
        <v>0</v>
      </c>
      <c r="AH300" s="1280">
        <f t="shared" si="154"/>
        <v>0</v>
      </c>
      <c r="AI300" s="1043">
        <f t="shared" si="15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49"/>
        <v>0</v>
      </c>
      <c r="N301" s="316">
        <f t="shared" si="150"/>
        <v>0</v>
      </c>
      <c r="O301" s="362">
        <v>0</v>
      </c>
      <c r="P301" s="363">
        <v>0</v>
      </c>
      <c r="Q301" s="363">
        <v>0</v>
      </c>
      <c r="R301" s="363">
        <v>0</v>
      </c>
      <c r="S301" s="363">
        <v>0</v>
      </c>
      <c r="T301" s="363">
        <v>0</v>
      </c>
      <c r="U301" s="363">
        <v>0</v>
      </c>
      <c r="V301" s="363">
        <v>0</v>
      </c>
      <c r="W301" s="363">
        <v>0</v>
      </c>
      <c r="X301" s="363">
        <v>0</v>
      </c>
      <c r="Y301" s="398">
        <v>0</v>
      </c>
      <c r="Z301" s="314">
        <f t="shared" si="151"/>
        <v>0</v>
      </c>
      <c r="AA301" s="316">
        <f t="shared" si="152"/>
        <v>0</v>
      </c>
      <c r="AB301" s="1054">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1055">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334">
        <f t="shared" si="153"/>
        <v>0</v>
      </c>
      <c r="AE301" s="1043">
        <f>SUMPRODUCT($B$74:$L$74,B301:L301)</f>
        <v>0</v>
      </c>
      <c r="AF301" s="1043">
        <f>SUMPRODUCT($O$74:$Y$74,O301:Y301)</f>
        <v>0</v>
      </c>
      <c r="AG301" s="1043">
        <f>SUM(AE301:AF301)</f>
        <v>0</v>
      </c>
      <c r="AH301" s="1280">
        <f t="shared" si="154"/>
        <v>0</v>
      </c>
      <c r="AI301" s="1043">
        <f t="shared" si="15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49"/>
        <v>0</v>
      </c>
      <c r="N302" s="316">
        <f t="shared" si="150"/>
        <v>0</v>
      </c>
      <c r="O302" s="362">
        <v>0</v>
      </c>
      <c r="P302" s="363">
        <v>0</v>
      </c>
      <c r="Q302" s="363">
        <v>0</v>
      </c>
      <c r="R302" s="363">
        <v>0</v>
      </c>
      <c r="S302" s="363">
        <v>0</v>
      </c>
      <c r="T302" s="363">
        <v>0</v>
      </c>
      <c r="U302" s="363">
        <v>0</v>
      </c>
      <c r="V302" s="363">
        <v>0</v>
      </c>
      <c r="W302" s="363">
        <v>0</v>
      </c>
      <c r="X302" s="363">
        <v>0</v>
      </c>
      <c r="Y302" s="398">
        <v>0</v>
      </c>
      <c r="Z302" s="314">
        <f t="shared" si="151"/>
        <v>0</v>
      </c>
      <c r="AA302" s="316">
        <f t="shared" si="152"/>
        <v>0</v>
      </c>
      <c r="AB302" s="1054">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1055">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334">
        <f t="shared" si="153"/>
        <v>0</v>
      </c>
      <c r="AE302" s="1043">
        <f t="shared" ref="AE302:AE328" si="156">SUMPRODUCT($B$74:$L$74,B302:L302)</f>
        <v>0</v>
      </c>
      <c r="AF302" s="1043">
        <f t="shared" ref="AF302:AF328" si="157">SUMPRODUCT($O$74:$Y$74,O302:Y302)</f>
        <v>0</v>
      </c>
      <c r="AG302" s="1043">
        <f t="shared" ref="AG302:AG328" si="158">SUM(AE302:AF302)</f>
        <v>0</v>
      </c>
      <c r="AH302" s="1280">
        <f t="shared" si="154"/>
        <v>0</v>
      </c>
      <c r="AI302" s="1043">
        <f t="shared" si="15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49"/>
        <v>0</v>
      </c>
      <c r="N303" s="316">
        <f t="shared" si="150"/>
        <v>0</v>
      </c>
      <c r="O303" s="362">
        <v>0</v>
      </c>
      <c r="P303" s="363">
        <v>0</v>
      </c>
      <c r="Q303" s="363">
        <v>0</v>
      </c>
      <c r="R303" s="363">
        <v>0</v>
      </c>
      <c r="S303" s="363">
        <v>0</v>
      </c>
      <c r="T303" s="363">
        <v>0</v>
      </c>
      <c r="U303" s="363">
        <v>0</v>
      </c>
      <c r="V303" s="363">
        <v>0</v>
      </c>
      <c r="W303" s="363">
        <v>0</v>
      </c>
      <c r="X303" s="363">
        <v>0</v>
      </c>
      <c r="Y303" s="398">
        <v>0</v>
      </c>
      <c r="Z303" s="314">
        <f t="shared" si="151"/>
        <v>0</v>
      </c>
      <c r="AA303" s="316">
        <f t="shared" si="152"/>
        <v>0</v>
      </c>
      <c r="AB303" s="1054">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1055">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334">
        <f t="shared" si="153"/>
        <v>0</v>
      </c>
      <c r="AE303" s="1043">
        <f t="shared" si="156"/>
        <v>0</v>
      </c>
      <c r="AF303" s="1043">
        <f t="shared" si="157"/>
        <v>0</v>
      </c>
      <c r="AG303" s="1043">
        <f t="shared" si="158"/>
        <v>0</v>
      </c>
      <c r="AH303" s="1280">
        <f t="shared" si="154"/>
        <v>0</v>
      </c>
      <c r="AI303" s="1043">
        <f t="shared" si="15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49"/>
        <v>0</v>
      </c>
      <c r="N304" s="330">
        <f t="shared" si="150"/>
        <v>0</v>
      </c>
      <c r="O304" s="364">
        <v>0</v>
      </c>
      <c r="P304" s="365">
        <v>0</v>
      </c>
      <c r="Q304" s="365">
        <v>0</v>
      </c>
      <c r="R304" s="365">
        <v>0</v>
      </c>
      <c r="S304" s="365">
        <v>0</v>
      </c>
      <c r="T304" s="365">
        <v>0</v>
      </c>
      <c r="U304" s="365">
        <v>0</v>
      </c>
      <c r="V304" s="365">
        <v>0</v>
      </c>
      <c r="W304" s="365">
        <v>0</v>
      </c>
      <c r="X304" s="365">
        <v>0</v>
      </c>
      <c r="Y304" s="399">
        <v>0</v>
      </c>
      <c r="Z304" s="328">
        <f t="shared" si="151"/>
        <v>0</v>
      </c>
      <c r="AA304" s="330">
        <f t="shared" si="152"/>
        <v>0</v>
      </c>
      <c r="AB304" s="1054">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1055">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334">
        <f t="shared" si="153"/>
        <v>0</v>
      </c>
      <c r="AE304" s="1043">
        <f t="shared" si="156"/>
        <v>0</v>
      </c>
      <c r="AF304" s="1043">
        <f t="shared" si="157"/>
        <v>0</v>
      </c>
      <c r="AG304" s="1043">
        <f t="shared" si="158"/>
        <v>0</v>
      </c>
      <c r="AH304" s="1280">
        <f t="shared" si="154"/>
        <v>0</v>
      </c>
      <c r="AI304" s="1043">
        <f t="shared" si="15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49"/>
        <v>0</v>
      </c>
      <c r="N305" s="302">
        <f t="shared" si="150"/>
        <v>0</v>
      </c>
      <c r="O305" s="360">
        <v>0</v>
      </c>
      <c r="P305" s="361">
        <v>0</v>
      </c>
      <c r="Q305" s="361">
        <v>0</v>
      </c>
      <c r="R305" s="361">
        <v>0</v>
      </c>
      <c r="S305" s="361">
        <v>0</v>
      </c>
      <c r="T305" s="361">
        <v>0</v>
      </c>
      <c r="U305" s="361">
        <v>0</v>
      </c>
      <c r="V305" s="361">
        <v>0</v>
      </c>
      <c r="W305" s="361">
        <v>0</v>
      </c>
      <c r="X305" s="361">
        <v>0</v>
      </c>
      <c r="Y305" s="397">
        <v>0</v>
      </c>
      <c r="Z305" s="300">
        <f t="shared" si="151"/>
        <v>0</v>
      </c>
      <c r="AA305" s="302">
        <f t="shared" si="152"/>
        <v>0</v>
      </c>
      <c r="AB305" s="1054">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1055">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334">
        <f t="shared" si="153"/>
        <v>0</v>
      </c>
      <c r="AE305" s="1043">
        <f t="shared" si="156"/>
        <v>0</v>
      </c>
      <c r="AF305" s="1043">
        <f t="shared" si="157"/>
        <v>0</v>
      </c>
      <c r="AG305" s="1043">
        <f t="shared" si="158"/>
        <v>0</v>
      </c>
      <c r="AH305" s="1280">
        <f t="shared" si="154"/>
        <v>0</v>
      </c>
      <c r="AI305" s="1043">
        <f t="shared" si="15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49"/>
        <v>0</v>
      </c>
      <c r="N306" s="316">
        <f t="shared" si="150"/>
        <v>0</v>
      </c>
      <c r="O306" s="362">
        <v>0</v>
      </c>
      <c r="P306" s="363">
        <v>0</v>
      </c>
      <c r="Q306" s="363">
        <v>0</v>
      </c>
      <c r="R306" s="363">
        <v>0</v>
      </c>
      <c r="S306" s="363">
        <v>0</v>
      </c>
      <c r="T306" s="363">
        <v>0</v>
      </c>
      <c r="U306" s="363">
        <v>0</v>
      </c>
      <c r="V306" s="363">
        <v>0</v>
      </c>
      <c r="W306" s="363">
        <v>0</v>
      </c>
      <c r="X306" s="363">
        <v>0</v>
      </c>
      <c r="Y306" s="398">
        <v>0</v>
      </c>
      <c r="Z306" s="314">
        <f t="shared" si="151"/>
        <v>0</v>
      </c>
      <c r="AA306" s="316">
        <f t="shared" si="152"/>
        <v>0</v>
      </c>
      <c r="AB306" s="1054">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1055">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334">
        <f t="shared" si="153"/>
        <v>0</v>
      </c>
      <c r="AE306" s="1043">
        <f t="shared" si="156"/>
        <v>0</v>
      </c>
      <c r="AF306" s="1043">
        <f t="shared" si="157"/>
        <v>0</v>
      </c>
      <c r="AG306" s="1043">
        <f t="shared" si="158"/>
        <v>0</v>
      </c>
      <c r="AH306" s="1280">
        <f t="shared" si="154"/>
        <v>0</v>
      </c>
      <c r="AI306" s="1043">
        <f t="shared" si="15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49"/>
        <v>0</v>
      </c>
      <c r="N307" s="316">
        <f t="shared" si="150"/>
        <v>0</v>
      </c>
      <c r="O307" s="362">
        <v>0</v>
      </c>
      <c r="P307" s="363">
        <v>0</v>
      </c>
      <c r="Q307" s="363">
        <v>0</v>
      </c>
      <c r="R307" s="363">
        <v>0</v>
      </c>
      <c r="S307" s="363">
        <v>0</v>
      </c>
      <c r="T307" s="363">
        <v>0</v>
      </c>
      <c r="U307" s="363">
        <v>0</v>
      </c>
      <c r="V307" s="363">
        <v>0</v>
      </c>
      <c r="W307" s="363">
        <v>0</v>
      </c>
      <c r="X307" s="363">
        <v>0</v>
      </c>
      <c r="Y307" s="398">
        <v>0</v>
      </c>
      <c r="Z307" s="314">
        <f t="shared" si="151"/>
        <v>0</v>
      </c>
      <c r="AA307" s="316">
        <f t="shared" si="152"/>
        <v>0</v>
      </c>
      <c r="AB307" s="1054">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1055">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334">
        <f t="shared" si="153"/>
        <v>0</v>
      </c>
      <c r="AE307" s="1043">
        <f t="shared" si="156"/>
        <v>0</v>
      </c>
      <c r="AF307" s="1043">
        <f t="shared" si="157"/>
        <v>0</v>
      </c>
      <c r="AG307" s="1043">
        <f t="shared" si="158"/>
        <v>0</v>
      </c>
      <c r="AH307" s="1280">
        <f t="shared" si="154"/>
        <v>0</v>
      </c>
      <c r="AI307" s="1043">
        <f t="shared" si="15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49"/>
        <v>0</v>
      </c>
      <c r="N308" s="316">
        <f t="shared" si="150"/>
        <v>0</v>
      </c>
      <c r="O308" s="362">
        <v>0</v>
      </c>
      <c r="P308" s="363">
        <v>0</v>
      </c>
      <c r="Q308" s="363">
        <v>0</v>
      </c>
      <c r="R308" s="363">
        <v>0</v>
      </c>
      <c r="S308" s="363">
        <v>0</v>
      </c>
      <c r="T308" s="363">
        <v>0</v>
      </c>
      <c r="U308" s="363">
        <v>0</v>
      </c>
      <c r="V308" s="363">
        <v>0</v>
      </c>
      <c r="W308" s="363">
        <v>0</v>
      </c>
      <c r="X308" s="363">
        <v>0</v>
      </c>
      <c r="Y308" s="398">
        <v>0</v>
      </c>
      <c r="Z308" s="314">
        <f t="shared" si="151"/>
        <v>0</v>
      </c>
      <c r="AA308" s="316">
        <f t="shared" si="152"/>
        <v>0</v>
      </c>
      <c r="AB308" s="1054">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1055">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334">
        <f t="shared" si="153"/>
        <v>0</v>
      </c>
      <c r="AE308" s="1043">
        <f t="shared" si="156"/>
        <v>0</v>
      </c>
      <c r="AF308" s="1043">
        <f t="shared" si="157"/>
        <v>0</v>
      </c>
      <c r="AG308" s="1043">
        <f t="shared" si="158"/>
        <v>0</v>
      </c>
      <c r="AH308" s="1280">
        <f t="shared" si="154"/>
        <v>0</v>
      </c>
      <c r="AI308" s="1043">
        <f t="shared" si="15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49"/>
        <v>0</v>
      </c>
      <c r="N309" s="330">
        <f t="shared" si="150"/>
        <v>0</v>
      </c>
      <c r="O309" s="364">
        <v>0</v>
      </c>
      <c r="P309" s="365">
        <v>0</v>
      </c>
      <c r="Q309" s="365">
        <v>0</v>
      </c>
      <c r="R309" s="365">
        <v>0</v>
      </c>
      <c r="S309" s="365">
        <v>0</v>
      </c>
      <c r="T309" s="365">
        <v>0</v>
      </c>
      <c r="U309" s="365">
        <v>0</v>
      </c>
      <c r="V309" s="365">
        <v>0</v>
      </c>
      <c r="W309" s="365">
        <v>0</v>
      </c>
      <c r="X309" s="365">
        <v>0</v>
      </c>
      <c r="Y309" s="399">
        <v>0</v>
      </c>
      <c r="Z309" s="328">
        <f t="shared" si="151"/>
        <v>0</v>
      </c>
      <c r="AA309" s="330">
        <f t="shared" si="152"/>
        <v>0</v>
      </c>
      <c r="AB309" s="1054">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1055">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334">
        <f t="shared" si="153"/>
        <v>0</v>
      </c>
      <c r="AE309" s="1043">
        <f t="shared" si="156"/>
        <v>0</v>
      </c>
      <c r="AF309" s="1043">
        <f t="shared" si="157"/>
        <v>0</v>
      </c>
      <c r="AG309" s="1043">
        <f t="shared" si="158"/>
        <v>0</v>
      </c>
      <c r="AH309" s="1280">
        <f t="shared" si="154"/>
        <v>0</v>
      </c>
      <c r="AI309" s="1043">
        <f t="shared" si="15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49"/>
        <v>0</v>
      </c>
      <c r="N310" s="302">
        <f t="shared" si="150"/>
        <v>0</v>
      </c>
      <c r="O310" s="360">
        <v>0</v>
      </c>
      <c r="P310" s="361">
        <v>0</v>
      </c>
      <c r="Q310" s="361">
        <v>0</v>
      </c>
      <c r="R310" s="361">
        <v>0</v>
      </c>
      <c r="S310" s="361">
        <v>0</v>
      </c>
      <c r="T310" s="361">
        <v>0</v>
      </c>
      <c r="U310" s="361">
        <v>0</v>
      </c>
      <c r="V310" s="361">
        <v>0</v>
      </c>
      <c r="W310" s="361">
        <v>0</v>
      </c>
      <c r="X310" s="361">
        <v>0</v>
      </c>
      <c r="Y310" s="397">
        <v>0</v>
      </c>
      <c r="Z310" s="300">
        <f t="shared" si="151"/>
        <v>0</v>
      </c>
      <c r="AA310" s="302">
        <f t="shared" si="152"/>
        <v>0</v>
      </c>
      <c r="AB310" s="1054">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1055">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334">
        <f t="shared" si="153"/>
        <v>0</v>
      </c>
      <c r="AE310" s="1043">
        <f t="shared" si="156"/>
        <v>0</v>
      </c>
      <c r="AF310" s="1043">
        <f t="shared" si="157"/>
        <v>0</v>
      </c>
      <c r="AG310" s="1043">
        <f t="shared" si="158"/>
        <v>0</v>
      </c>
      <c r="AH310" s="1280">
        <f t="shared" si="154"/>
        <v>0</v>
      </c>
      <c r="AI310" s="1043">
        <f t="shared" si="15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49"/>
        <v>0</v>
      </c>
      <c r="N311" s="316">
        <f t="shared" si="150"/>
        <v>0</v>
      </c>
      <c r="O311" s="362">
        <v>0</v>
      </c>
      <c r="P311" s="363">
        <v>0</v>
      </c>
      <c r="Q311" s="363">
        <v>0</v>
      </c>
      <c r="R311" s="363">
        <v>0</v>
      </c>
      <c r="S311" s="363">
        <v>0</v>
      </c>
      <c r="T311" s="363">
        <v>0</v>
      </c>
      <c r="U311" s="363">
        <v>0</v>
      </c>
      <c r="V311" s="363">
        <v>0</v>
      </c>
      <c r="W311" s="363">
        <v>0</v>
      </c>
      <c r="X311" s="363">
        <v>0</v>
      </c>
      <c r="Y311" s="398">
        <v>0</v>
      </c>
      <c r="Z311" s="314">
        <f t="shared" si="151"/>
        <v>0</v>
      </c>
      <c r="AA311" s="316">
        <f t="shared" si="152"/>
        <v>0</v>
      </c>
      <c r="AB311" s="1054">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1055">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334">
        <f t="shared" si="153"/>
        <v>0</v>
      </c>
      <c r="AE311" s="1043">
        <f t="shared" si="156"/>
        <v>0</v>
      </c>
      <c r="AF311" s="1043">
        <f t="shared" si="157"/>
        <v>0</v>
      </c>
      <c r="AG311" s="1043">
        <f t="shared" si="158"/>
        <v>0</v>
      </c>
      <c r="AH311" s="1280">
        <f t="shared" si="154"/>
        <v>0</v>
      </c>
      <c r="AI311" s="1043">
        <f t="shared" si="15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49"/>
        <v>0</v>
      </c>
      <c r="N312" s="316">
        <f t="shared" si="150"/>
        <v>0</v>
      </c>
      <c r="O312" s="362">
        <v>0</v>
      </c>
      <c r="P312" s="363">
        <v>0</v>
      </c>
      <c r="Q312" s="363">
        <v>0</v>
      </c>
      <c r="R312" s="363">
        <v>0</v>
      </c>
      <c r="S312" s="363">
        <v>0</v>
      </c>
      <c r="T312" s="363">
        <v>0</v>
      </c>
      <c r="U312" s="363">
        <v>0</v>
      </c>
      <c r="V312" s="363">
        <v>0</v>
      </c>
      <c r="W312" s="363">
        <v>0</v>
      </c>
      <c r="X312" s="363">
        <v>0</v>
      </c>
      <c r="Y312" s="398">
        <v>0</v>
      </c>
      <c r="Z312" s="314">
        <f t="shared" si="151"/>
        <v>0</v>
      </c>
      <c r="AA312" s="316">
        <f t="shared" si="152"/>
        <v>0</v>
      </c>
      <c r="AB312" s="1054">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1055">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334">
        <f>AB312*AH312+AC312*AI312</f>
        <v>0</v>
      </c>
      <c r="AE312" s="1043">
        <f t="shared" si="156"/>
        <v>0</v>
      </c>
      <c r="AF312" s="1043">
        <f t="shared" si="157"/>
        <v>0</v>
      </c>
      <c r="AG312" s="1043">
        <f t="shared" si="158"/>
        <v>0</v>
      </c>
      <c r="AH312" s="1280">
        <f t="shared" si="154"/>
        <v>0</v>
      </c>
      <c r="AI312" s="1043">
        <f t="shared" si="15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49"/>
        <v>0</v>
      </c>
      <c r="N313" s="316">
        <f t="shared" si="150"/>
        <v>0</v>
      </c>
      <c r="O313" s="362">
        <v>0</v>
      </c>
      <c r="P313" s="363">
        <v>0</v>
      </c>
      <c r="Q313" s="363">
        <v>0</v>
      </c>
      <c r="R313" s="363">
        <v>0</v>
      </c>
      <c r="S313" s="363">
        <v>0</v>
      </c>
      <c r="T313" s="363">
        <v>0</v>
      </c>
      <c r="U313" s="363">
        <v>0</v>
      </c>
      <c r="V313" s="363">
        <v>0</v>
      </c>
      <c r="W313" s="363">
        <v>0</v>
      </c>
      <c r="X313" s="363">
        <v>0</v>
      </c>
      <c r="Y313" s="398">
        <v>0</v>
      </c>
      <c r="Z313" s="314">
        <f t="shared" si="151"/>
        <v>0</v>
      </c>
      <c r="AA313" s="316">
        <f t="shared" si="152"/>
        <v>0</v>
      </c>
      <c r="AB313" s="1054">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1055">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334">
        <f t="shared" ref="AD313:AD329" si="159">AB313*AH313+AC313*AI313</f>
        <v>0</v>
      </c>
      <c r="AE313" s="1043">
        <f t="shared" si="156"/>
        <v>0</v>
      </c>
      <c r="AF313" s="1043">
        <f t="shared" si="157"/>
        <v>0</v>
      </c>
      <c r="AG313" s="1043">
        <f t="shared" si="158"/>
        <v>0</v>
      </c>
      <c r="AH313" s="1280">
        <f t="shared" si="154"/>
        <v>0</v>
      </c>
      <c r="AI313" s="1043">
        <f t="shared" si="15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49"/>
        <v>0</v>
      </c>
      <c r="N314" s="330">
        <f t="shared" si="150"/>
        <v>0</v>
      </c>
      <c r="O314" s="364">
        <v>0</v>
      </c>
      <c r="P314" s="365">
        <v>0</v>
      </c>
      <c r="Q314" s="365">
        <v>0</v>
      </c>
      <c r="R314" s="365">
        <v>0</v>
      </c>
      <c r="S314" s="365">
        <v>0</v>
      </c>
      <c r="T314" s="365">
        <v>0</v>
      </c>
      <c r="U314" s="365">
        <v>0</v>
      </c>
      <c r="V314" s="365">
        <v>0</v>
      </c>
      <c r="W314" s="365">
        <v>0</v>
      </c>
      <c r="X314" s="365">
        <v>0</v>
      </c>
      <c r="Y314" s="399">
        <v>0</v>
      </c>
      <c r="Z314" s="328">
        <f t="shared" si="151"/>
        <v>0</v>
      </c>
      <c r="AA314" s="330">
        <f t="shared" si="152"/>
        <v>0</v>
      </c>
      <c r="AB314" s="1054">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1055">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334">
        <f t="shared" si="159"/>
        <v>0</v>
      </c>
      <c r="AE314" s="1043">
        <f t="shared" si="156"/>
        <v>0</v>
      </c>
      <c r="AF314" s="1043">
        <f t="shared" si="157"/>
        <v>0</v>
      </c>
      <c r="AG314" s="1043">
        <f t="shared" si="158"/>
        <v>0</v>
      </c>
      <c r="AH314" s="1280">
        <f t="shared" si="154"/>
        <v>0</v>
      </c>
      <c r="AI314" s="1043">
        <f t="shared" si="15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49"/>
        <v>0</v>
      </c>
      <c r="N315" s="302">
        <f t="shared" si="150"/>
        <v>0</v>
      </c>
      <c r="O315" s="360">
        <v>0</v>
      </c>
      <c r="P315" s="361">
        <v>0</v>
      </c>
      <c r="Q315" s="361">
        <v>0</v>
      </c>
      <c r="R315" s="361">
        <v>0</v>
      </c>
      <c r="S315" s="361">
        <v>1.0818346650343923E-7</v>
      </c>
      <c r="T315" s="361">
        <v>1.2938751150367217E-6</v>
      </c>
      <c r="U315" s="361">
        <v>3.2881990501694789E-6</v>
      </c>
      <c r="V315" s="361">
        <v>5.9449269607904732E-6</v>
      </c>
      <c r="W315" s="361">
        <v>1.1700968276353135E-5</v>
      </c>
      <c r="X315" s="361">
        <v>1.4477307694199555E-5</v>
      </c>
      <c r="Y315" s="397">
        <v>1.8552826571523359E-5</v>
      </c>
      <c r="Z315" s="300">
        <f t="shared" si="151"/>
        <v>8.577333576761621E-7</v>
      </c>
      <c r="AA315" s="302">
        <f t="shared" si="152"/>
        <v>4.0540431074845407E-7</v>
      </c>
      <c r="AB315" s="1054">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1055">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334">
        <f t="shared" si="159"/>
        <v>0</v>
      </c>
      <c r="AE315" s="1043">
        <f t="shared" si="156"/>
        <v>0</v>
      </c>
      <c r="AF315" s="1043">
        <f t="shared" si="157"/>
        <v>8.577333576761621E-7</v>
      </c>
      <c r="AG315" s="1043">
        <f t="shared" si="158"/>
        <v>8.577333576761621E-7</v>
      </c>
      <c r="AH315" s="1280">
        <f t="shared" si="154"/>
        <v>0</v>
      </c>
      <c r="AI315" s="1043">
        <f t="shared" si="155"/>
        <v>1</v>
      </c>
    </row>
    <row r="316" spans="1:35" x14ac:dyDescent="0.2">
      <c r="A316" s="348">
        <v>2037</v>
      </c>
      <c r="B316" s="362">
        <v>0</v>
      </c>
      <c r="C316" s="363">
        <v>0</v>
      </c>
      <c r="D316" s="363">
        <v>0</v>
      </c>
      <c r="E316" s="363">
        <v>0</v>
      </c>
      <c r="F316" s="363">
        <v>0</v>
      </c>
      <c r="G316" s="363">
        <v>1.9499409265430533E-4</v>
      </c>
      <c r="H316" s="363">
        <v>2.7545475750702375E-3</v>
      </c>
      <c r="I316" s="363">
        <v>1.0741260652871785E-2</v>
      </c>
      <c r="J316" s="363">
        <v>2.6832710399499027E-2</v>
      </c>
      <c r="K316" s="363">
        <v>4.448032785573184E-2</v>
      </c>
      <c r="L316" s="398">
        <v>8.6471309507048094E-2</v>
      </c>
      <c r="M316" s="314">
        <f t="shared" si="149"/>
        <v>5.35162123130459E-3</v>
      </c>
      <c r="N316" s="316">
        <f t="shared" si="150"/>
        <v>2.170408352863628E-3</v>
      </c>
      <c r="O316" s="362">
        <v>0</v>
      </c>
      <c r="P316" s="363">
        <v>0</v>
      </c>
      <c r="Q316" s="363">
        <v>1.4177645983426621E-7</v>
      </c>
      <c r="R316" s="363">
        <v>6.1244180201796954E-6</v>
      </c>
      <c r="S316" s="363">
        <v>2.027399977726264E-5</v>
      </c>
      <c r="T316" s="363">
        <v>4.1020348526553128E-5</v>
      </c>
      <c r="U316" s="363">
        <v>5.2039909606038854E-5</v>
      </c>
      <c r="V316" s="363">
        <v>5.9380976340610068E-5</v>
      </c>
      <c r="W316" s="363">
        <v>6.9580666945003898E-5</v>
      </c>
      <c r="X316" s="363">
        <v>7.4572155006006298E-5</v>
      </c>
      <c r="Y316" s="398">
        <v>8.2036803547222344E-5</v>
      </c>
      <c r="Z316" s="314">
        <f t="shared" si="151"/>
        <v>1.0543398922737673E-5</v>
      </c>
      <c r="AA316" s="316">
        <f t="shared" si="152"/>
        <v>6.5708151056423533E-6</v>
      </c>
      <c r="AB316" s="1054">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1055">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334">
        <f t="shared" si="159"/>
        <v>0</v>
      </c>
      <c r="AE316" s="1043">
        <f t="shared" si="156"/>
        <v>5.35162123130459E-3</v>
      </c>
      <c r="AF316" s="1043">
        <f t="shared" si="157"/>
        <v>1.0543398922737673E-5</v>
      </c>
      <c r="AG316" s="1043">
        <f t="shared" si="158"/>
        <v>5.3621646302273278E-3</v>
      </c>
      <c r="AH316" s="1280">
        <f t="shared" si="154"/>
        <v>0.99803374203333795</v>
      </c>
      <c r="AI316" s="1043">
        <f t="shared" si="155"/>
        <v>1.9662579666619986E-3</v>
      </c>
    </row>
    <row r="317" spans="1:35" x14ac:dyDescent="0.2">
      <c r="A317" s="348">
        <v>2038</v>
      </c>
      <c r="B317" s="362">
        <v>0</v>
      </c>
      <c r="C317" s="363">
        <v>0</v>
      </c>
      <c r="D317" s="363">
        <v>0</v>
      </c>
      <c r="E317" s="363">
        <v>9.9901611813690214E-3</v>
      </c>
      <c r="F317" s="363">
        <v>5.1442684577898343E-2</v>
      </c>
      <c r="G317" s="363">
        <v>9.929552873884101E-2</v>
      </c>
      <c r="H317" s="363">
        <v>0.14120397546227387</v>
      </c>
      <c r="I317" s="363">
        <v>0.16735467310460275</v>
      </c>
      <c r="J317" s="363">
        <v>0.18790929190832767</v>
      </c>
      <c r="K317" s="363">
        <v>0.20631217615859884</v>
      </c>
      <c r="L317" s="398">
        <v>0.22194375204520439</v>
      </c>
      <c r="M317" s="314">
        <f t="shared" si="149"/>
        <v>5.4033483330810386E-2</v>
      </c>
      <c r="N317" s="316">
        <f t="shared" si="150"/>
        <v>3.0947571595681556E-2</v>
      </c>
      <c r="O317" s="362">
        <v>0</v>
      </c>
      <c r="P317" s="363">
        <v>4.9778284637449192E-8</v>
      </c>
      <c r="Q317" s="363">
        <v>1.7049124724315679E-5</v>
      </c>
      <c r="R317" s="363">
        <v>6.5531287638096101E-5</v>
      </c>
      <c r="S317" s="363">
        <v>1.0259279415911019E-4</v>
      </c>
      <c r="T317" s="363">
        <v>1.2269568846031236E-4</v>
      </c>
      <c r="U317" s="363">
        <v>1.2709580091688032E-4</v>
      </c>
      <c r="V317" s="363">
        <v>1.3784710988240694E-4</v>
      </c>
      <c r="W317" s="363">
        <v>1.385260844214251E-4</v>
      </c>
      <c r="X317" s="363">
        <v>1.3917506836270171E-4</v>
      </c>
      <c r="Y317" s="398">
        <v>1.4244441993585996E-4</v>
      </c>
      <c r="Z317" s="314">
        <f t="shared" si="151"/>
        <v>3.4053927488401023E-5</v>
      </c>
      <c r="AA317" s="316">
        <f t="shared" si="152"/>
        <v>2.4885044424867989E-5</v>
      </c>
      <c r="AB317" s="1054">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1055">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334">
        <f t="shared" si="159"/>
        <v>0</v>
      </c>
      <c r="AE317" s="1043">
        <f t="shared" si="156"/>
        <v>5.4033483330810386E-2</v>
      </c>
      <c r="AF317" s="1043">
        <f t="shared" si="157"/>
        <v>3.4053927488401023E-5</v>
      </c>
      <c r="AG317" s="1043">
        <f t="shared" si="158"/>
        <v>5.4067537258298784E-2</v>
      </c>
      <c r="AH317" s="1280">
        <f t="shared" si="154"/>
        <v>0.99937015944843743</v>
      </c>
      <c r="AI317" s="1043">
        <f t="shared" si="155"/>
        <v>6.2984055156264983E-4</v>
      </c>
    </row>
    <row r="318" spans="1:35" x14ac:dyDescent="0.2">
      <c r="A318" s="348">
        <v>2039</v>
      </c>
      <c r="B318" s="362">
        <v>0</v>
      </c>
      <c r="C318" s="363">
        <v>0</v>
      </c>
      <c r="D318" s="363">
        <v>2.4041329349029299E-2</v>
      </c>
      <c r="E318" s="363">
        <v>0.1129954547612403</v>
      </c>
      <c r="F318" s="363">
        <v>0.18267600375087548</v>
      </c>
      <c r="G318" s="363">
        <v>0.21849108521808666</v>
      </c>
      <c r="H318" s="363">
        <v>0.23069671122565202</v>
      </c>
      <c r="I318" s="363">
        <v>0.24150357277453033</v>
      </c>
      <c r="J318" s="363">
        <v>0.24168991415143345</v>
      </c>
      <c r="K318" s="363">
        <v>0.24819683376888874</v>
      </c>
      <c r="L318" s="398">
        <v>0.25054875489544742</v>
      </c>
      <c r="M318" s="314">
        <f t="shared" si="149"/>
        <v>0.10495321860874662</v>
      </c>
      <c r="N318" s="316">
        <f t="shared" si="150"/>
        <v>7.1325496264285429E-2</v>
      </c>
      <c r="O318" s="362">
        <v>0</v>
      </c>
      <c r="P318" s="363">
        <v>9.5107274585144748E-6</v>
      </c>
      <c r="Q318" s="363">
        <v>1.3426286205471495E-4</v>
      </c>
      <c r="R318" s="363">
        <v>2.6475377173822829E-4</v>
      </c>
      <c r="S318" s="363">
        <v>3.163642463252167E-4</v>
      </c>
      <c r="T318" s="363">
        <v>3.3261475255334127E-4</v>
      </c>
      <c r="U318" s="363">
        <v>3.2942794251882891E-4</v>
      </c>
      <c r="V318" s="363">
        <v>3.318746092024983E-4</v>
      </c>
      <c r="W318" s="363">
        <v>3.2922859493887788E-4</v>
      </c>
      <c r="X318" s="363">
        <v>3.2248930190411653E-4</v>
      </c>
      <c r="Y318" s="398">
        <v>3.2321047408594719E-4</v>
      </c>
      <c r="Z318" s="314">
        <f t="shared" si="151"/>
        <v>1.0204227858535136E-4</v>
      </c>
      <c r="AA318" s="316">
        <f t="shared" si="152"/>
        <v>8.1044065967482662E-5</v>
      </c>
      <c r="AB318" s="1054">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1055">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334">
        <f t="shared" si="159"/>
        <v>0</v>
      </c>
      <c r="AE318" s="1043">
        <f t="shared" si="156"/>
        <v>0.10495321860874662</v>
      </c>
      <c r="AF318" s="1043">
        <f t="shared" si="157"/>
        <v>1.0204227858535136E-4</v>
      </c>
      <c r="AG318" s="1043">
        <f t="shared" si="158"/>
        <v>0.10505526088733197</v>
      </c>
      <c r="AH318" s="1280">
        <f t="shared" si="154"/>
        <v>0.99902867997543898</v>
      </c>
      <c r="AI318" s="1043">
        <f t="shared" si="155"/>
        <v>9.7132002456105525E-4</v>
      </c>
    </row>
    <row r="319" spans="1:35" ht="13.5" thickBot="1" x14ac:dyDescent="0.25">
      <c r="A319" s="346">
        <v>2040</v>
      </c>
      <c r="B319" s="364">
        <v>0</v>
      </c>
      <c r="C319" s="365">
        <v>3.6027419831764036E-3</v>
      </c>
      <c r="D319" s="365">
        <v>0.10007448626349792</v>
      </c>
      <c r="E319" s="365">
        <v>0.19226521085486922</v>
      </c>
      <c r="F319" s="365">
        <v>0.23807261064937191</v>
      </c>
      <c r="G319" s="365">
        <v>0.25042401128807684</v>
      </c>
      <c r="H319" s="365">
        <v>0.25665941389538244</v>
      </c>
      <c r="I319" s="365">
        <v>0.25798961980854357</v>
      </c>
      <c r="J319" s="365">
        <v>0.25821357841505921</v>
      </c>
      <c r="K319" s="365">
        <v>0.25751780703081878</v>
      </c>
      <c r="L319" s="399">
        <v>0.25447918117292873</v>
      </c>
      <c r="M319" s="328">
        <f t="shared" si="149"/>
        <v>0.12971029855633331</v>
      </c>
      <c r="N319" s="330">
        <f t="shared" si="150"/>
        <v>9.582893903583202E-2</v>
      </c>
      <c r="O319" s="364">
        <v>0</v>
      </c>
      <c r="P319" s="365">
        <v>1.1161305439824312E-4</v>
      </c>
      <c r="Q319" s="365">
        <v>4.891295671350679E-4</v>
      </c>
      <c r="R319" s="365">
        <v>6.7068227444136354E-4</v>
      </c>
      <c r="S319" s="365">
        <v>7.1567076228523381E-4</v>
      </c>
      <c r="T319" s="365">
        <v>7.0898078794582686E-4</v>
      </c>
      <c r="U319" s="365">
        <v>7.005604327532907E-4</v>
      </c>
      <c r="V319" s="365">
        <v>6.8646513408015858E-4</v>
      </c>
      <c r="W319" s="365">
        <v>6.797118423287926E-4</v>
      </c>
      <c r="X319" s="365">
        <v>6.6658064289312844E-4</v>
      </c>
      <c r="Y319" s="399">
        <v>6.5771226111373151E-4</v>
      </c>
      <c r="Z319" s="328">
        <f t="shared" si="151"/>
        <v>2.378262233962105E-4</v>
      </c>
      <c r="AA319" s="330">
        <f t="shared" si="152"/>
        <v>2.0152952111226352E-4</v>
      </c>
      <c r="AB319" s="1054">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1055">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334">
        <f t="shared" si="159"/>
        <v>0</v>
      </c>
      <c r="AE319" s="1043">
        <f t="shared" si="156"/>
        <v>0.12971029855633331</v>
      </c>
      <c r="AF319" s="1043">
        <f t="shared" si="157"/>
        <v>2.378262233962105E-4</v>
      </c>
      <c r="AG319" s="1043">
        <f t="shared" si="158"/>
        <v>0.12994812477972953</v>
      </c>
      <c r="AH319" s="1280">
        <f t="shared" si="154"/>
        <v>0.9981698372038893</v>
      </c>
      <c r="AI319" s="1043">
        <f t="shared" si="155"/>
        <v>1.8301627961106891E-3</v>
      </c>
    </row>
    <row r="320" spans="1:35" x14ac:dyDescent="0.2">
      <c r="A320" s="347">
        <v>2041</v>
      </c>
      <c r="B320" s="360">
        <v>0</v>
      </c>
      <c r="C320" s="361">
        <v>2.6426980014560789E-2</v>
      </c>
      <c r="D320" s="361">
        <v>0.16198071178125231</v>
      </c>
      <c r="E320" s="361">
        <v>0.23762422881377962</v>
      </c>
      <c r="F320" s="361">
        <v>0.25681667124430152</v>
      </c>
      <c r="G320" s="361">
        <v>0.26734508095077641</v>
      </c>
      <c r="H320" s="361">
        <v>0.26528192698512626</v>
      </c>
      <c r="I320" s="361">
        <v>0.26055189570785214</v>
      </c>
      <c r="J320" s="361">
        <v>0.25969791703351014</v>
      </c>
      <c r="K320" s="361">
        <v>0.25791417063237931</v>
      </c>
      <c r="L320" s="397">
        <v>0.25536102421543344</v>
      </c>
      <c r="M320" s="300">
        <f t="shared" si="149"/>
        <v>0.14258956661302918</v>
      </c>
      <c r="N320" s="302">
        <f t="shared" si="150"/>
        <v>0.11119842419827385</v>
      </c>
      <c r="O320" s="360">
        <v>0</v>
      </c>
      <c r="P320" s="361">
        <v>4.6326748902877517E-4</v>
      </c>
      <c r="Q320" s="361">
        <v>1.1556667711439795E-3</v>
      </c>
      <c r="R320" s="361">
        <v>1.3675973097907548E-3</v>
      </c>
      <c r="S320" s="361">
        <v>1.3843771033465453E-3</v>
      </c>
      <c r="T320" s="361">
        <v>1.3721298376816926E-3</v>
      </c>
      <c r="U320" s="361">
        <v>1.3471942952889707E-3</v>
      </c>
      <c r="V320" s="361">
        <v>1.3119045404310506E-3</v>
      </c>
      <c r="W320" s="361">
        <v>1.281131044755097E-3</v>
      </c>
      <c r="X320" s="361">
        <v>1.2699959095175939E-3</v>
      </c>
      <c r="Y320" s="397">
        <v>1.2510809828082542E-3</v>
      </c>
      <c r="Z320" s="300">
        <f t="shared" si="151"/>
        <v>4.7863632630643278E-4</v>
      </c>
      <c r="AA320" s="302">
        <f t="shared" si="152"/>
        <v>4.2361052667938152E-4</v>
      </c>
      <c r="AB320" s="1054">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1055">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334">
        <f t="shared" si="159"/>
        <v>0</v>
      </c>
      <c r="AE320" s="1043">
        <f t="shared" si="156"/>
        <v>0.14258956661302918</v>
      </c>
      <c r="AF320" s="1043">
        <f t="shared" si="157"/>
        <v>4.7863632630643278E-4</v>
      </c>
      <c r="AG320" s="1043">
        <f t="shared" si="158"/>
        <v>0.14306820293933561</v>
      </c>
      <c r="AH320" s="1280">
        <f t="shared" si="154"/>
        <v>0.99665448844346372</v>
      </c>
      <c r="AI320" s="1043">
        <f t="shared" si="155"/>
        <v>3.3455115565363337E-3</v>
      </c>
    </row>
    <row r="321" spans="1:35" x14ac:dyDescent="0.2">
      <c r="A321" s="348">
        <v>2042</v>
      </c>
      <c r="B321" s="362">
        <v>0</v>
      </c>
      <c r="C321" s="363">
        <v>6.5329275845109017E-2</v>
      </c>
      <c r="D321" s="363">
        <v>0.20562895507196591</v>
      </c>
      <c r="E321" s="363">
        <v>0.24691617025884061</v>
      </c>
      <c r="F321" s="363">
        <v>0.26725820617290275</v>
      </c>
      <c r="G321" s="363">
        <v>0.26605787309933715</v>
      </c>
      <c r="H321" s="363">
        <v>0.26585780734423969</v>
      </c>
      <c r="I321" s="363">
        <v>0.26134885165076921</v>
      </c>
      <c r="J321" s="363">
        <v>0.25772412562010139</v>
      </c>
      <c r="K321" s="363">
        <v>0.2570838516996124</v>
      </c>
      <c r="L321" s="398">
        <v>0.25422925335489088</v>
      </c>
      <c r="M321" s="314">
        <f t="shared" si="149"/>
        <v>0.14858117220279918</v>
      </c>
      <c r="N321" s="316">
        <f t="shared" si="150"/>
        <v>0.12064529712706006</v>
      </c>
      <c r="O321" s="362">
        <v>8.3933024457600439E-5</v>
      </c>
      <c r="P321" s="363">
        <v>1.286222079284242E-3</v>
      </c>
      <c r="Q321" s="363">
        <v>2.3439945715716098E-3</v>
      </c>
      <c r="R321" s="363">
        <v>2.4989884578610071E-3</v>
      </c>
      <c r="S321" s="363">
        <v>2.4525278009274029E-3</v>
      </c>
      <c r="T321" s="363">
        <v>2.4214231196241923E-3</v>
      </c>
      <c r="U321" s="363">
        <v>2.3749164249857175E-3</v>
      </c>
      <c r="V321" s="363">
        <v>2.3390330078903762E-3</v>
      </c>
      <c r="W321" s="363">
        <v>2.2991084165449264E-3</v>
      </c>
      <c r="X321" s="363">
        <v>2.2809354374599649E-3</v>
      </c>
      <c r="Y321" s="398">
        <v>2.2510979167188285E-3</v>
      </c>
      <c r="Z321" s="314">
        <f t="shared" si="151"/>
        <v>8.7903567865892432E-4</v>
      </c>
      <c r="AA321" s="316">
        <f t="shared" si="152"/>
        <v>8.0914785567875905E-4</v>
      </c>
      <c r="AB321" s="1054">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1055">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334">
        <f t="shared" si="159"/>
        <v>0</v>
      </c>
      <c r="AE321" s="1043">
        <f t="shared" si="156"/>
        <v>0.14858117220279918</v>
      </c>
      <c r="AF321" s="1043">
        <f t="shared" si="157"/>
        <v>8.7903567865892432E-4</v>
      </c>
      <c r="AG321" s="1043">
        <f t="shared" si="158"/>
        <v>0.14946020788145811</v>
      </c>
      <c r="AH321" s="1280">
        <f t="shared" si="154"/>
        <v>0.99411859724324669</v>
      </c>
      <c r="AI321" s="1043">
        <f t="shared" si="155"/>
        <v>5.8814027567532685E-3</v>
      </c>
    </row>
    <row r="322" spans="1:35" x14ac:dyDescent="0.2">
      <c r="A322" s="348">
        <v>2043</v>
      </c>
      <c r="B322" s="362">
        <v>0</v>
      </c>
      <c r="C322" s="363">
        <v>0.14808462381129897</v>
      </c>
      <c r="D322" s="363">
        <v>0.24688431833186775</v>
      </c>
      <c r="E322" s="363">
        <v>0.27405638461535331</v>
      </c>
      <c r="F322" s="363">
        <v>0.27364407733067964</v>
      </c>
      <c r="G322" s="363">
        <v>0.26542322836395899</v>
      </c>
      <c r="H322" s="363">
        <v>0.26567962036765036</v>
      </c>
      <c r="I322" s="363">
        <v>0.26141546796116283</v>
      </c>
      <c r="J322" s="363">
        <v>0.25687560832622575</v>
      </c>
      <c r="K322" s="363">
        <v>0.25576630477302759</v>
      </c>
      <c r="L322" s="398">
        <v>0.25326618623671443</v>
      </c>
      <c r="M322" s="314">
        <f t="shared" si="149"/>
        <v>0.15692166854568459</v>
      </c>
      <c r="N322" s="316">
        <f t="shared" si="150"/>
        <v>0.13499813451665832</v>
      </c>
      <c r="O322" s="362">
        <v>7.9261579486039667E-4</v>
      </c>
      <c r="P322" s="363">
        <v>2.6453296336393056E-3</v>
      </c>
      <c r="Q322" s="363">
        <v>3.7427394350561648E-3</v>
      </c>
      <c r="R322" s="363">
        <v>4.1128634534751659E-3</v>
      </c>
      <c r="S322" s="363">
        <v>4.124923629015064E-3</v>
      </c>
      <c r="T322" s="363">
        <v>4.0566397032552257E-3</v>
      </c>
      <c r="U322" s="363">
        <v>4.0176986462053229E-3</v>
      </c>
      <c r="V322" s="363">
        <v>3.9893460191379494E-3</v>
      </c>
      <c r="W322" s="363">
        <v>3.9273096457831738E-3</v>
      </c>
      <c r="X322" s="363">
        <v>3.8996981374594141E-3</v>
      </c>
      <c r="Y322" s="398">
        <v>3.8564748961908281E-3</v>
      </c>
      <c r="Z322" s="314">
        <f t="shared" si="151"/>
        <v>1.4863324591687355E-3</v>
      </c>
      <c r="AA322" s="316">
        <f t="shared" si="152"/>
        <v>1.4060317701879779E-3</v>
      </c>
      <c r="AB322" s="1054">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1055">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334">
        <f t="shared" si="159"/>
        <v>0</v>
      </c>
      <c r="AE322" s="1043">
        <f t="shared" si="156"/>
        <v>0.15692166854568459</v>
      </c>
      <c r="AF322" s="1043">
        <f t="shared" si="157"/>
        <v>1.4863324591687355E-3</v>
      </c>
      <c r="AG322" s="1043">
        <f t="shared" si="158"/>
        <v>0.15840800100485333</v>
      </c>
      <c r="AH322" s="1280">
        <f t="shared" si="154"/>
        <v>0.99061706195558141</v>
      </c>
      <c r="AI322" s="1043">
        <f t="shared" si="155"/>
        <v>9.3829380444185838E-3</v>
      </c>
    </row>
    <row r="323" spans="1:35" x14ac:dyDescent="0.2">
      <c r="A323" s="348">
        <v>2044</v>
      </c>
      <c r="B323" s="362">
        <v>1.0322101552506068E-3</v>
      </c>
      <c r="C323" s="363">
        <v>0.24191221441157981</v>
      </c>
      <c r="D323" s="363">
        <v>0.26746570350387661</v>
      </c>
      <c r="E323" s="363">
        <v>0.28420143549921301</v>
      </c>
      <c r="F323" s="363">
        <v>0.27591170144483912</v>
      </c>
      <c r="G323" s="363">
        <v>0.26470102348584623</v>
      </c>
      <c r="H323" s="363">
        <v>0.2635979374796083</v>
      </c>
      <c r="I323" s="363">
        <v>0.2583903166830952</v>
      </c>
      <c r="J323" s="363">
        <v>0.25578697493524355</v>
      </c>
      <c r="K323" s="363">
        <v>0.25460273061891131</v>
      </c>
      <c r="L323" s="398">
        <v>0.25248839667585898</v>
      </c>
      <c r="M323" s="314">
        <f t="shared" si="149"/>
        <v>0.16208138547278206</v>
      </c>
      <c r="N323" s="316">
        <f t="shared" si="150"/>
        <v>0.14625171510291957</v>
      </c>
      <c r="O323" s="362">
        <v>3.2475132987648415E-3</v>
      </c>
      <c r="P323" s="363">
        <v>3.2852947734760504E-3</v>
      </c>
      <c r="Q323" s="363">
        <v>4.2902331890981834E-3</v>
      </c>
      <c r="R323" s="363">
        <v>5.2710432231450124E-3</v>
      </c>
      <c r="S323" s="363">
        <v>5.1891340077239202E-3</v>
      </c>
      <c r="T323" s="363">
        <v>5.1408782361213471E-3</v>
      </c>
      <c r="U323" s="363">
        <v>5.1350881115914499E-3</v>
      </c>
      <c r="V323" s="363">
        <v>5.1172557587881471E-3</v>
      </c>
      <c r="W323" s="363">
        <v>5.0319749548754789E-3</v>
      </c>
      <c r="X323" s="363">
        <v>5.0014017750557183E-3</v>
      </c>
      <c r="Y323" s="398">
        <v>4.976233906747252E-3</v>
      </c>
      <c r="Z323" s="314">
        <f t="shared" si="151"/>
        <v>1.8868851162950812E-3</v>
      </c>
      <c r="AA323" s="316">
        <f t="shared" si="152"/>
        <v>1.8562604125390038E-3</v>
      </c>
      <c r="AB323" s="1054">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1055">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334">
        <f t="shared" si="159"/>
        <v>0</v>
      </c>
      <c r="AE323" s="1043">
        <f t="shared" si="156"/>
        <v>0.16208138547278206</v>
      </c>
      <c r="AF323" s="1043">
        <f t="shared" si="157"/>
        <v>1.8868851162950812E-3</v>
      </c>
      <c r="AG323" s="1043">
        <f t="shared" si="158"/>
        <v>0.16396827058907715</v>
      </c>
      <c r="AH323" s="1280">
        <f t="shared" si="154"/>
        <v>0.9884923765462903</v>
      </c>
      <c r="AI323" s="1043">
        <f t="shared" si="155"/>
        <v>1.1507623453709691E-2</v>
      </c>
    </row>
    <row r="324" spans="1:35" ht="13.5" thickBot="1" x14ac:dyDescent="0.25">
      <c r="A324" s="346">
        <v>2045</v>
      </c>
      <c r="B324" s="364">
        <v>8.634291797344245E-3</v>
      </c>
      <c r="C324" s="365">
        <v>0.30489372100192524</v>
      </c>
      <c r="D324" s="365">
        <v>0.26689132799398141</v>
      </c>
      <c r="E324" s="365">
        <v>0.28559463884307795</v>
      </c>
      <c r="F324" s="365">
        <v>0.27720839055851565</v>
      </c>
      <c r="G324" s="365">
        <v>0.26678612233943128</v>
      </c>
      <c r="H324" s="365">
        <v>0.26220280360743847</v>
      </c>
      <c r="I324" s="365">
        <v>0.25731458744018904</v>
      </c>
      <c r="J324" s="365">
        <v>0.25489168612818397</v>
      </c>
      <c r="K324" s="365">
        <v>0.25360842063092387</v>
      </c>
      <c r="L324" s="399">
        <v>0.25265136591768439</v>
      </c>
      <c r="M324" s="328">
        <f t="shared" si="149"/>
        <v>0.16448728230677906</v>
      </c>
      <c r="N324" s="330">
        <f t="shared" si="150"/>
        <v>0.15238902305998461</v>
      </c>
      <c r="O324" s="364">
        <v>1.2483687300711661E-2</v>
      </c>
      <c r="P324" s="365">
        <v>5.77853053674928E-3</v>
      </c>
      <c r="Q324" s="365">
        <v>6.400469388458791E-3</v>
      </c>
      <c r="R324" s="365">
        <v>8.2465744087654846E-3</v>
      </c>
      <c r="S324" s="365">
        <v>8.2334560045582064E-3</v>
      </c>
      <c r="T324" s="365">
        <v>8.2007028252338784E-3</v>
      </c>
      <c r="U324" s="365">
        <v>8.1996328091682794E-3</v>
      </c>
      <c r="V324" s="365">
        <v>8.1780917389765347E-3</v>
      </c>
      <c r="W324" s="365">
        <v>8.0572502500548364E-3</v>
      </c>
      <c r="X324" s="365">
        <v>8.0168071892867693E-3</v>
      </c>
      <c r="Y324" s="399">
        <v>7.985762098822017E-3</v>
      </c>
      <c r="Z324" s="328">
        <f t="shared" si="151"/>
        <v>3.0530978996364463E-3</v>
      </c>
      <c r="AA324" s="330">
        <f t="shared" si="152"/>
        <v>3.2921201882675668E-3</v>
      </c>
      <c r="AB324" s="1054">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1055">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334">
        <f t="shared" si="159"/>
        <v>0</v>
      </c>
      <c r="AE324" s="1043">
        <f t="shared" si="156"/>
        <v>0.16448728230677906</v>
      </c>
      <c r="AF324" s="1043">
        <f t="shared" si="157"/>
        <v>3.0530978996364463E-3</v>
      </c>
      <c r="AG324" s="1043">
        <f t="shared" si="158"/>
        <v>0.16754038020641551</v>
      </c>
      <c r="AH324" s="1280">
        <f t="shared" si="154"/>
        <v>0.9817769429920421</v>
      </c>
      <c r="AI324" s="1043">
        <f t="shared" si="155"/>
        <v>1.8223057007957871E-2</v>
      </c>
    </row>
    <row r="325" spans="1:35" x14ac:dyDescent="0.2">
      <c r="A325" s="347">
        <v>2046</v>
      </c>
      <c r="B325" s="360">
        <v>2.0442703177147407E-2</v>
      </c>
      <c r="C325" s="361">
        <v>0.32882725329014389</v>
      </c>
      <c r="D325" s="361">
        <v>0.26524171461736434</v>
      </c>
      <c r="E325" s="361">
        <v>0.28828993690834315</v>
      </c>
      <c r="F325" s="361">
        <v>0.27914372551081829</v>
      </c>
      <c r="G325" s="361">
        <v>0.26481067875219644</v>
      </c>
      <c r="H325" s="361">
        <v>0.26091347725390091</v>
      </c>
      <c r="I325" s="361">
        <v>0.25637256925238394</v>
      </c>
      <c r="J325" s="361">
        <v>0.25414427664090844</v>
      </c>
      <c r="K325" s="361">
        <v>0.25375789134524629</v>
      </c>
      <c r="L325" s="397">
        <v>0.25206296437224573</v>
      </c>
      <c r="M325" s="300">
        <f t="shared" si="149"/>
        <v>0.16542481259713368</v>
      </c>
      <c r="N325" s="302">
        <f t="shared" si="150"/>
        <v>0.1551009009687595</v>
      </c>
      <c r="O325" s="360">
        <v>2.038142112693023E-2</v>
      </c>
      <c r="P325" s="361">
        <v>1.0523579311508897E-2</v>
      </c>
      <c r="Q325" s="361">
        <v>9.2159660205377962E-3</v>
      </c>
      <c r="R325" s="361">
        <v>1.2587733351663586E-2</v>
      </c>
      <c r="S325" s="361">
        <v>1.264313144634471E-2</v>
      </c>
      <c r="T325" s="361">
        <v>1.2576056632970858E-2</v>
      </c>
      <c r="U325" s="361">
        <v>1.2588183153829377E-2</v>
      </c>
      <c r="V325" s="361">
        <v>1.2499621097098762E-2</v>
      </c>
      <c r="W325" s="361">
        <v>1.2469623473502413E-2</v>
      </c>
      <c r="X325" s="361">
        <v>1.2407277266463982E-2</v>
      </c>
      <c r="Y325" s="397">
        <v>1.2359417113203304E-2</v>
      </c>
      <c r="Z325" s="300">
        <f t="shared" si="151"/>
        <v>4.7145161879088779E-3</v>
      </c>
      <c r="AA325" s="302">
        <f t="shared" si="152"/>
        <v>5.1785062573983459E-3</v>
      </c>
      <c r="AB325" s="1054">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1055">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334">
        <f t="shared" si="159"/>
        <v>0</v>
      </c>
      <c r="AE325" s="1043">
        <f t="shared" si="156"/>
        <v>0.16542481259713368</v>
      </c>
      <c r="AF325" s="1043">
        <f t="shared" si="157"/>
        <v>4.7145161879088779E-3</v>
      </c>
      <c r="AG325" s="1043">
        <f t="shared" si="158"/>
        <v>0.17013932878504257</v>
      </c>
      <c r="AH325" s="1280">
        <f t="shared" si="154"/>
        <v>0.97229026221288728</v>
      </c>
      <c r="AI325" s="1043">
        <f t="shared" si="155"/>
        <v>2.7709737787112654E-2</v>
      </c>
    </row>
    <row r="326" spans="1:35" x14ac:dyDescent="0.2">
      <c r="A326" s="348">
        <v>2047</v>
      </c>
      <c r="B326" s="362">
        <v>4.4790900236197875E-2</v>
      </c>
      <c r="C326" s="363">
        <v>0.33074134986382603</v>
      </c>
      <c r="D326" s="363">
        <v>0.2644099707474768</v>
      </c>
      <c r="E326" s="363">
        <v>0.29204840982957198</v>
      </c>
      <c r="F326" s="363">
        <v>0.27725110297520278</v>
      </c>
      <c r="G326" s="363">
        <v>0.26653450948650725</v>
      </c>
      <c r="H326" s="363">
        <v>0.25974531421382974</v>
      </c>
      <c r="I326" s="363">
        <v>0.25675643575164431</v>
      </c>
      <c r="J326" s="363">
        <v>0.25452484081674465</v>
      </c>
      <c r="K326" s="363">
        <v>0.25314005026506792</v>
      </c>
      <c r="L326" s="398">
        <v>0.25240181651707438</v>
      </c>
      <c r="M326" s="314">
        <f t="shared" si="149"/>
        <v>0.16572440560600857</v>
      </c>
      <c r="N326" s="316">
        <f t="shared" si="150"/>
        <v>0.15633998424298581</v>
      </c>
      <c r="O326" s="362">
        <v>3.6738858377253512E-2</v>
      </c>
      <c r="P326" s="363">
        <v>1.7159193252355487E-2</v>
      </c>
      <c r="Q326" s="363">
        <v>1.325816004081508E-2</v>
      </c>
      <c r="R326" s="363">
        <v>1.8655795747505116E-2</v>
      </c>
      <c r="S326" s="363">
        <v>1.8831016571101779E-2</v>
      </c>
      <c r="T326" s="363">
        <v>1.8737078851304993E-2</v>
      </c>
      <c r="U326" s="363">
        <v>1.868445498735978E-2</v>
      </c>
      <c r="V326" s="363">
        <v>1.8627252930850595E-2</v>
      </c>
      <c r="W326" s="363">
        <v>1.8491743010073735E-2</v>
      </c>
      <c r="X326" s="363">
        <v>1.8491743010073735E-2</v>
      </c>
      <c r="Y326" s="398">
        <v>1.8420814593937063E-2</v>
      </c>
      <c r="Z326" s="314">
        <f t="shared" si="151"/>
        <v>7.0854117575010088E-3</v>
      </c>
      <c r="AA326" s="316">
        <f t="shared" si="152"/>
        <v>8.0687902011984201E-3</v>
      </c>
      <c r="AB326" s="1054">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1055">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334">
        <f t="shared" si="159"/>
        <v>0</v>
      </c>
      <c r="AE326" s="1043">
        <f t="shared" si="156"/>
        <v>0.16572440560600857</v>
      </c>
      <c r="AF326" s="1043">
        <f t="shared" si="157"/>
        <v>7.0854117575010088E-3</v>
      </c>
      <c r="AG326" s="1043">
        <f t="shared" si="158"/>
        <v>0.17280981736350959</v>
      </c>
      <c r="AH326" s="1280">
        <f t="shared" si="154"/>
        <v>0.95899878915677172</v>
      </c>
      <c r="AI326" s="1043">
        <f t="shared" si="155"/>
        <v>4.1001210843228171E-2</v>
      </c>
    </row>
    <row r="327" spans="1:35" x14ac:dyDescent="0.2">
      <c r="A327" s="348">
        <v>2048</v>
      </c>
      <c r="B327" s="362">
        <v>9.0641279894099175E-2</v>
      </c>
      <c r="C327" s="363">
        <v>0.38113057995956162</v>
      </c>
      <c r="D327" s="363">
        <v>0.28193696272165841</v>
      </c>
      <c r="E327" s="363">
        <v>0.2965180645567761</v>
      </c>
      <c r="F327" s="363">
        <v>0.27700557718253793</v>
      </c>
      <c r="G327" s="363">
        <v>0.26512630242636959</v>
      </c>
      <c r="H327" s="363">
        <v>0.26009882919725791</v>
      </c>
      <c r="I327" s="363">
        <v>0.25710602813153249</v>
      </c>
      <c r="J327" s="363">
        <v>0.25487138792028663</v>
      </c>
      <c r="K327" s="363">
        <v>0.25348452282685874</v>
      </c>
      <c r="L327" s="398">
        <v>0.25274500542906014</v>
      </c>
      <c r="M327" s="314">
        <f t="shared" si="149"/>
        <v>0.16916210294241071</v>
      </c>
      <c r="N327" s="316">
        <f t="shared" si="150"/>
        <v>0.16464305366702583</v>
      </c>
      <c r="O327" s="362">
        <v>5.8337154598021385E-2</v>
      </c>
      <c r="P327" s="363">
        <v>2.2128241085018631E-2</v>
      </c>
      <c r="Q327" s="363">
        <v>1.6027672825898058E-2</v>
      </c>
      <c r="R327" s="363">
        <v>2.226790037472073E-2</v>
      </c>
      <c r="S327" s="363">
        <v>2.2456524560278798E-2</v>
      </c>
      <c r="T327" s="363">
        <v>2.2389058980800732E-2</v>
      </c>
      <c r="U327" s="363">
        <v>2.2349241787494149E-2</v>
      </c>
      <c r="V327" s="363">
        <v>2.2304592998792144E-2</v>
      </c>
      <c r="W327" s="363">
        <v>2.2278155887505903E-2</v>
      </c>
      <c r="X327" s="363">
        <v>2.2192988684667916E-2</v>
      </c>
      <c r="Y327" s="398">
        <v>2.2136285704203593E-2</v>
      </c>
      <c r="Z327" s="314">
        <f t="shared" si="151"/>
        <v>8.6375069456870335E-3</v>
      </c>
      <c r="AA327" s="316">
        <f t="shared" si="152"/>
        <v>1.042475064109276E-2</v>
      </c>
      <c r="AB327" s="1054">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1055">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334">
        <f t="shared" si="159"/>
        <v>0</v>
      </c>
      <c r="AE327" s="1043">
        <f t="shared" si="156"/>
        <v>0.16916210294241071</v>
      </c>
      <c r="AF327" s="1043">
        <f t="shared" si="157"/>
        <v>8.6375069456870335E-3</v>
      </c>
      <c r="AG327" s="1043">
        <f t="shared" si="158"/>
        <v>0.17779960988809776</v>
      </c>
      <c r="AH327" s="1280">
        <f t="shared" si="154"/>
        <v>0.95141998932886718</v>
      </c>
      <c r="AI327" s="1043">
        <f t="shared" si="155"/>
        <v>4.8580010671132774E-2</v>
      </c>
    </row>
    <row r="328" spans="1:35" x14ac:dyDescent="0.2">
      <c r="A328" s="348">
        <v>2049</v>
      </c>
      <c r="B328" s="362">
        <v>0.15302803799745721</v>
      </c>
      <c r="C328" s="363">
        <v>0.42243371254311396</v>
      </c>
      <c r="D328" s="363">
        <v>0.28445627471863727</v>
      </c>
      <c r="E328" s="363">
        <v>0.29419286133401829</v>
      </c>
      <c r="F328" s="363">
        <v>0.27734252054651648</v>
      </c>
      <c r="G328" s="363">
        <v>0.26545048866744769</v>
      </c>
      <c r="H328" s="363">
        <v>0.26041759286176147</v>
      </c>
      <c r="I328" s="363">
        <v>0.25624120679307838</v>
      </c>
      <c r="J328" s="363">
        <v>0.25421774910006117</v>
      </c>
      <c r="K328" s="363">
        <v>0.25379500686588868</v>
      </c>
      <c r="L328" s="398">
        <v>0.2530542928224046</v>
      </c>
      <c r="M328" s="314">
        <f t="shared" si="149"/>
        <v>0.17098682527974213</v>
      </c>
      <c r="N328" s="316">
        <f t="shared" si="150"/>
        <v>0.17086589914214889</v>
      </c>
      <c r="O328" s="362">
        <v>0.10058994767403943</v>
      </c>
      <c r="P328" s="363">
        <v>3.0698607307198381E-2</v>
      </c>
      <c r="Q328" s="363">
        <v>2.3458853149813313E-2</v>
      </c>
      <c r="R328" s="363">
        <v>3.141254180917892E-2</v>
      </c>
      <c r="S328" s="363">
        <v>3.1706142177528839E-2</v>
      </c>
      <c r="T328" s="363">
        <v>3.1625468357962684E-2</v>
      </c>
      <c r="U328" s="363">
        <v>3.1574719687910126E-2</v>
      </c>
      <c r="V328" s="363">
        <v>3.1515946429322123E-2</v>
      </c>
      <c r="W328" s="363">
        <v>3.1482349108446168E-2</v>
      </c>
      <c r="X328" s="363">
        <v>3.1363067479185484E-2</v>
      </c>
      <c r="Y328" s="398">
        <v>3.1283647128403765E-2</v>
      </c>
      <c r="Z328" s="314">
        <f t="shared" si="151"/>
        <v>1.2364380968390777E-2</v>
      </c>
      <c r="AA328" s="316">
        <f t="shared" si="152"/>
        <v>1.5572942337903439E-2</v>
      </c>
      <c r="AB328" s="1054">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1055">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334">
        <f t="shared" si="159"/>
        <v>0</v>
      </c>
      <c r="AE328" s="1043">
        <f t="shared" si="156"/>
        <v>0.17098682527974213</v>
      </c>
      <c r="AF328" s="1043">
        <f t="shared" si="157"/>
        <v>1.2364380968390777E-2</v>
      </c>
      <c r="AG328" s="1043">
        <f t="shared" si="158"/>
        <v>0.18335120624813289</v>
      </c>
      <c r="AH328" s="1280">
        <f t="shared" si="154"/>
        <v>0.93256449618521842</v>
      </c>
      <c r="AI328" s="1043">
        <f t="shared" si="155"/>
        <v>6.7435503814781611E-2</v>
      </c>
    </row>
    <row r="329" spans="1:35" ht="13.5" thickBot="1" x14ac:dyDescent="0.25">
      <c r="A329" s="346">
        <v>2050</v>
      </c>
      <c r="B329" s="364">
        <v>0.26605157599517448</v>
      </c>
      <c r="C329" s="365">
        <v>0.42815854897009759</v>
      </c>
      <c r="D329" s="365">
        <v>0.28791344242410105</v>
      </c>
      <c r="E329" s="365">
        <v>0.29615684650978508</v>
      </c>
      <c r="F329" s="365">
        <v>0.27764267140157556</v>
      </c>
      <c r="G329" s="365">
        <v>0.26573922144495615</v>
      </c>
      <c r="H329" s="365">
        <v>0.2593123036006123</v>
      </c>
      <c r="I329" s="365">
        <v>0.25652008652376201</v>
      </c>
      <c r="J329" s="365">
        <v>0.25449442154407148</v>
      </c>
      <c r="K329" s="365">
        <v>0.25407137618000386</v>
      </c>
      <c r="L329" s="399">
        <v>0.25283491241024469</v>
      </c>
      <c r="M329" s="328">
        <f t="shared" si="149"/>
        <v>0.1722604986339954</v>
      </c>
      <c r="N329" s="330">
        <f t="shared" si="150"/>
        <v>0.17635090745460938</v>
      </c>
      <c r="O329" s="364">
        <v>0.14831430930134631</v>
      </c>
      <c r="P329" s="365">
        <v>3.8344922813758377E-2</v>
      </c>
      <c r="Q329" s="365">
        <v>2.7741818998981715E-2</v>
      </c>
      <c r="R329" s="365">
        <v>3.6840006511245027E-2</v>
      </c>
      <c r="S329" s="365">
        <v>3.7203561135408493E-2</v>
      </c>
      <c r="T329" s="365">
        <v>3.7119044154945262E-2</v>
      </c>
      <c r="U329" s="365">
        <v>3.706330052641927E-2</v>
      </c>
      <c r="V329" s="365">
        <v>3.6997301213068878E-2</v>
      </c>
      <c r="W329" s="365">
        <v>3.6960475132354849E-2</v>
      </c>
      <c r="X329" s="365">
        <v>3.6821158184697465E-2</v>
      </c>
      <c r="Y329" s="399">
        <v>3.6728394851719783E-2</v>
      </c>
      <c r="Z329" s="328">
        <f t="shared" si="151"/>
        <v>1.4828221596033761E-2</v>
      </c>
      <c r="AA329" s="330">
        <f t="shared" si="152"/>
        <v>1.9836787392449689E-2</v>
      </c>
      <c r="AB329" s="1056">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1057">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335">
        <f t="shared" si="159"/>
        <v>0</v>
      </c>
      <c r="AE329" s="1043">
        <f t="shared" ref="AE329" si="160">SUMPRODUCT($B$74:$L$74,B329:L329)</f>
        <v>0.1722604986339954</v>
      </c>
      <c r="AF329" s="1043">
        <f t="shared" ref="AF329" si="161">SUMPRODUCT($O$74:$Y$74,O329:Y329)</f>
        <v>1.4828221596033761E-2</v>
      </c>
      <c r="AG329" s="1043">
        <f t="shared" ref="AG329" si="162">SUM(AE329:AF329)</f>
        <v>0.18708872023002915</v>
      </c>
      <c r="AH329" s="1280">
        <f t="shared" ref="AH329" si="163">IF(AG329&gt;0,AE329/AG329,0)</f>
        <v>0.92074230034925586</v>
      </c>
      <c r="AI329" s="1043">
        <f t="shared" ref="AI329" si="164">IF(AG329&gt;0,AF329/AG329,0)</f>
        <v>7.9257699650744209E-2</v>
      </c>
    </row>
    <row r="330" spans="1:35" x14ac:dyDescent="0.2">
      <c r="B330" s="245" t="str">
        <f>B$120</f>
        <v>Output generated: 2/21/2020 18:23</v>
      </c>
      <c r="O330" s="245" t="str">
        <f>O$120</f>
        <v>Output generated: 2/21/2020 18:23</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140625" style="245" customWidth="1"/>
    <col min="11" max="11" width="8.42578125" style="245"/>
    <col min="12" max="12" width="12.28515625" style="245" customWidth="1"/>
    <col min="13" max="13" width="10"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8.42578125" style="245"/>
    <col min="29" max="29" width="12" style="245" customWidth="1"/>
    <col min="30" max="33" width="8.42578125" style="245"/>
    <col min="34" max="34" width="9.42578125" style="245" customWidth="1"/>
    <col min="35" max="39" width="8.42578125" style="341"/>
    <col min="40" max="40" width="9.5703125" style="245" customWidth="1"/>
    <col min="41" max="41" width="9" style="245" customWidth="1"/>
    <col min="42" max="42" width="9.28515625" style="245" customWidth="1"/>
    <col min="43" max="43" width="9.42578125" style="245" customWidth="1"/>
    <col min="44" max="44" width="8.42578125" style="245"/>
    <col min="45" max="46" width="9" style="245" customWidth="1"/>
    <col min="47" max="47" width="8.42578125" style="245"/>
    <col min="48" max="48" width="9" style="245" customWidth="1"/>
    <col min="49" max="54" width="8.42578125" style="245"/>
    <col min="55" max="55" width="9.140625" style="245" bestFit="1" customWidth="1"/>
    <col min="56" max="57" width="8.42578125" style="245"/>
    <col min="58" max="58" width="9.140625" style="245" bestFit="1" customWidth="1"/>
    <col min="59" max="60" width="9.5703125" style="245" bestFit="1" customWidth="1"/>
    <col min="61" max="16384" width="8.42578125" style="245"/>
  </cols>
  <sheetData>
    <row r="1" spans="2:64" ht="15.75" x14ac:dyDescent="0.25">
      <c r="B1" s="58" t="s">
        <v>253</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2" t="s">
        <v>53</v>
      </c>
      <c r="C3" s="1573"/>
      <c r="D3" s="254">
        <v>7.4999999999999997E-2</v>
      </c>
      <c r="F3"/>
      <c r="G3"/>
      <c r="H3"/>
      <c r="L3" s="245" t="s">
        <v>390</v>
      </c>
      <c r="N3" s="245" t="s">
        <v>127</v>
      </c>
      <c r="P3" s="1555" t="s">
        <v>206</v>
      </c>
      <c r="Q3" s="1556"/>
      <c r="R3" s="1556"/>
      <c r="S3" s="1556"/>
      <c r="T3" s="1556"/>
      <c r="U3" s="1557"/>
      <c r="Y3" s="221"/>
      <c r="AI3" s="245"/>
      <c r="AJ3" s="245"/>
      <c r="AK3" s="245"/>
      <c r="AL3" s="245"/>
      <c r="AM3" s="245"/>
    </row>
    <row r="4" spans="2:64" x14ac:dyDescent="0.2">
      <c r="B4" s="1572" t="s">
        <v>104</v>
      </c>
      <c r="C4" s="1573"/>
      <c r="D4" s="243" t="s">
        <v>111</v>
      </c>
      <c r="F4"/>
      <c r="G4"/>
      <c r="H4"/>
      <c r="N4" s="245" t="s">
        <v>126</v>
      </c>
      <c r="P4" s="1569">
        <v>43882.766006944446</v>
      </c>
      <c r="Q4" s="1556"/>
      <c r="R4" s="1556"/>
      <c r="S4" s="1556"/>
      <c r="T4" s="1556"/>
      <c r="U4" s="1557"/>
      <c r="V4" s="245" t="s">
        <v>188</v>
      </c>
      <c r="AI4" s="245"/>
      <c r="AJ4" s="245"/>
      <c r="AK4" s="245"/>
      <c r="AL4" s="245"/>
      <c r="AM4" s="245"/>
    </row>
    <row r="5" spans="2:64" x14ac:dyDescent="0.2">
      <c r="B5" s="1572" t="s">
        <v>118</v>
      </c>
      <c r="C5" s="1573"/>
      <c r="D5" s="243" t="s">
        <v>15</v>
      </c>
      <c r="F5"/>
      <c r="G5"/>
      <c r="H5"/>
      <c r="P5" s="1569">
        <v>43882.766018518516</v>
      </c>
      <c r="Q5" s="1556"/>
      <c r="R5" s="1556"/>
      <c r="S5" s="1556"/>
      <c r="T5" s="1556"/>
      <c r="U5" s="1557"/>
      <c r="V5" s="245" t="s">
        <v>15</v>
      </c>
      <c r="AI5" s="245"/>
      <c r="AJ5" s="245"/>
      <c r="AK5" s="245"/>
      <c r="AL5" s="245"/>
      <c r="AM5" s="245"/>
    </row>
    <row r="6" spans="2:64" x14ac:dyDescent="0.2">
      <c r="B6" s="1572" t="s">
        <v>68</v>
      </c>
      <c r="C6" s="1573"/>
      <c r="D6" s="256">
        <v>225000</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613"/>
      <c r="AK8" s="262"/>
      <c r="AL8" s="262"/>
      <c r="AM8" s="262"/>
      <c r="BI8" s="263"/>
      <c r="BJ8" s="263"/>
      <c r="BK8" s="263"/>
      <c r="BL8" s="263"/>
    </row>
    <row r="9" spans="2:64" s="1174" customFormat="1" ht="28.5" customHeight="1" x14ac:dyDescent="0.2">
      <c r="B9" s="1166"/>
      <c r="C9" s="1167"/>
      <c r="D9" s="1168"/>
      <c r="E9" s="1168"/>
      <c r="F9" s="1166"/>
      <c r="G9" s="1169"/>
      <c r="H9" s="1170"/>
      <c r="I9" s="1170"/>
      <c r="J9" s="1543" t="s">
        <v>76</v>
      </c>
      <c r="K9" s="1544"/>
      <c r="L9" s="1589" t="s">
        <v>83</v>
      </c>
      <c r="M9" s="1590"/>
      <c r="N9" s="1589" t="s">
        <v>109</v>
      </c>
      <c r="O9" s="1591"/>
      <c r="P9" s="1591"/>
      <c r="Q9" s="1590"/>
      <c r="R9" s="1171"/>
      <c r="S9" s="1172"/>
      <c r="T9" s="1173"/>
      <c r="AD9" s="1175"/>
      <c r="AG9" s="1176"/>
      <c r="AH9" s="1176"/>
      <c r="AI9" s="1176"/>
      <c r="AJ9" s="1177"/>
      <c r="BF9" s="1178"/>
      <c r="BG9" s="1178"/>
      <c r="BH9" s="1178"/>
      <c r="BI9" s="1178"/>
      <c r="BJ9" s="1178"/>
      <c r="BK9" s="1178"/>
    </row>
    <row r="10" spans="2:64" s="258" customFormat="1" ht="39" customHeight="1" thickBot="1" x14ac:dyDescent="0.25">
      <c r="B10" s="291"/>
      <c r="C10" s="708" t="s">
        <v>75</v>
      </c>
      <c r="D10" s="691"/>
      <c r="E10" s="691"/>
      <c r="F10" s="831" t="s">
        <v>217</v>
      </c>
      <c r="G10" s="832" t="s">
        <v>216</v>
      </c>
      <c r="H10" s="941" t="s">
        <v>273</v>
      </c>
      <c r="I10" s="842" t="s">
        <v>81</v>
      </c>
      <c r="J10" s="1220" t="s">
        <v>292</v>
      </c>
      <c r="K10" s="1221" t="s">
        <v>293</v>
      </c>
      <c r="L10" s="672" t="s">
        <v>113</v>
      </c>
      <c r="M10" s="673" t="s">
        <v>84</v>
      </c>
      <c r="N10" s="674" t="s">
        <v>95</v>
      </c>
      <c r="O10" s="673" t="s">
        <v>112</v>
      </c>
      <c r="P10" s="673" t="s">
        <v>120</v>
      </c>
      <c r="Q10" s="675" t="s">
        <v>108</v>
      </c>
      <c r="R10" s="260"/>
      <c r="AD10" s="890"/>
      <c r="AE10" s="613"/>
      <c r="AF10" s="262"/>
      <c r="BD10" s="934"/>
      <c r="BE10" s="263"/>
      <c r="BF10" s="263"/>
      <c r="BG10" s="263"/>
      <c r="BH10" s="263"/>
      <c r="BI10" s="263"/>
    </row>
    <row r="11" spans="2:64" s="258" customFormat="1" x14ac:dyDescent="0.2">
      <c r="B11" s="688" t="s">
        <v>69</v>
      </c>
      <c r="C11" s="682" t="str">
        <f t="shared" ref="C11:C16" si="0">INDEX(TECH_OPT_PARAMS_Cls3,MATCH($B11,TECH_OPT_ROWS_Cls3,0),MATCH(C$10,TECH_OPT_COLS_Cls3,0))</f>
        <v>Conventional Diesel ICE</v>
      </c>
      <c r="D11" s="683"/>
      <c r="E11" s="683"/>
      <c r="F11" s="682" t="str">
        <f t="shared" ref="F11:O16" si="1">INDEX(TECH_OPT_PARAMS_Cls3,MATCH($B11,TECH_OPT_ROWS_Cls3,0),MATCH(F$10,TECH_OPT_COLS_Cls3,0))</f>
        <v>Diesel</v>
      </c>
      <c r="G11" s="829" t="str">
        <f t="shared" si="1"/>
        <v>N/A</v>
      </c>
      <c r="H11" s="991" t="b">
        <f t="shared" si="1"/>
        <v>0</v>
      </c>
      <c r="I11" s="843">
        <f t="shared" si="1"/>
        <v>0</v>
      </c>
      <c r="J11" s="839">
        <f t="shared" si="1"/>
        <v>0</v>
      </c>
      <c r="K11" s="676">
        <f t="shared" si="1"/>
        <v>0</v>
      </c>
      <c r="L11" s="676">
        <f t="shared" si="1"/>
        <v>0</v>
      </c>
      <c r="M11" s="676">
        <f t="shared" si="1"/>
        <v>0</v>
      </c>
      <c r="N11" s="677">
        <f t="shared" si="1"/>
        <v>0</v>
      </c>
      <c r="O11" s="677">
        <f t="shared" si="1"/>
        <v>350</v>
      </c>
      <c r="P11" s="678">
        <f>$D$6*('Inputs 7&amp;8 Day'!$N8/('Inputs 7&amp;8 Day'!$O8*1000))/12</f>
        <v>0</v>
      </c>
      <c r="Q11" s="679"/>
      <c r="R11" s="260"/>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992" t="b">
        <f t="shared" si="1"/>
        <v>0</v>
      </c>
      <c r="I12" s="844">
        <f t="shared" si="1"/>
        <v>2021</v>
      </c>
      <c r="J12" s="840">
        <f t="shared" si="1"/>
        <v>0</v>
      </c>
      <c r="K12" s="255">
        <f t="shared" si="1"/>
        <v>0.5</v>
      </c>
      <c r="L12" s="255">
        <f t="shared" si="1"/>
        <v>5000</v>
      </c>
      <c r="M12" s="255">
        <f t="shared" si="1"/>
        <v>100</v>
      </c>
      <c r="N12" s="255">
        <f t="shared" si="1"/>
        <v>0</v>
      </c>
      <c r="O12" s="255">
        <f t="shared" si="1"/>
        <v>350</v>
      </c>
      <c r="P12" s="276">
        <f>$D$6*('Inputs 7&amp;8 Day'!$N9/('Inputs 7&amp;8 Day'!$O9*1000))/12</f>
        <v>0</v>
      </c>
      <c r="Q12" s="277">
        <f>P$11-P12</f>
        <v>0</v>
      </c>
      <c r="R12" s="278"/>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992" t="b">
        <f t="shared" si="1"/>
        <v>0</v>
      </c>
      <c r="I13" s="844">
        <f t="shared" si="1"/>
        <v>2021</v>
      </c>
      <c r="J13" s="840">
        <f t="shared" si="1"/>
        <v>0</v>
      </c>
      <c r="K13" s="255">
        <f t="shared" si="1"/>
        <v>0.5</v>
      </c>
      <c r="L13" s="255">
        <f t="shared" si="1"/>
        <v>5000</v>
      </c>
      <c r="M13" s="255">
        <f t="shared" si="1"/>
        <v>100</v>
      </c>
      <c r="N13" s="255">
        <f t="shared" si="1"/>
        <v>0</v>
      </c>
      <c r="O13" s="255">
        <f t="shared" si="1"/>
        <v>350</v>
      </c>
      <c r="P13" s="276">
        <f>$D$6*('Inputs 7&amp;8 Day'!$N10/('Inputs 7&amp;8 Day'!$O10*1000))/12</f>
        <v>0</v>
      </c>
      <c r="Q13" s="277">
        <f>P$11-P13</f>
        <v>0</v>
      </c>
      <c r="R13" s="278"/>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992" t="b">
        <f t="shared" si="1"/>
        <v>0</v>
      </c>
      <c r="I14" s="844">
        <f t="shared" si="1"/>
        <v>2021</v>
      </c>
      <c r="J14" s="840">
        <f t="shared" si="1"/>
        <v>0</v>
      </c>
      <c r="K14" s="255">
        <f t="shared" si="1"/>
        <v>0.5</v>
      </c>
      <c r="L14" s="255">
        <f t="shared" si="1"/>
        <v>5000</v>
      </c>
      <c r="M14" s="255">
        <f t="shared" si="1"/>
        <v>100</v>
      </c>
      <c r="N14" s="255">
        <f t="shared" si="1"/>
        <v>0</v>
      </c>
      <c r="O14" s="255">
        <f t="shared" si="1"/>
        <v>350</v>
      </c>
      <c r="P14" s="809">
        <f>$D$6*('Inputs 7&amp;8 Day'!$N11/('Inputs 7&amp;8 Day'!$O11*1000))/12</f>
        <v>0</v>
      </c>
      <c r="Q14" s="810">
        <f t="shared" ref="Q14:Q16" si="2">P$11-P14</f>
        <v>0</v>
      </c>
      <c r="R14" s="278"/>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992" t="b">
        <f t="shared" si="1"/>
        <v>0</v>
      </c>
      <c r="I15" s="844">
        <f t="shared" si="1"/>
        <v>2021</v>
      </c>
      <c r="J15" s="840">
        <f t="shared" si="1"/>
        <v>0</v>
      </c>
      <c r="K15" s="255">
        <f t="shared" si="1"/>
        <v>0.5</v>
      </c>
      <c r="L15" s="255">
        <f t="shared" si="1"/>
        <v>5000</v>
      </c>
      <c r="M15" s="255">
        <f t="shared" si="1"/>
        <v>100</v>
      </c>
      <c r="N15" s="255">
        <f t="shared" si="1"/>
        <v>0</v>
      </c>
      <c r="O15" s="255">
        <f t="shared" si="1"/>
        <v>350</v>
      </c>
      <c r="P15" s="809">
        <f>$D$6*('Inputs 7&amp;8 Day'!$N12/('Inputs 7&amp;8 Day'!$O12*1000))/12</f>
        <v>0</v>
      </c>
      <c r="Q15" s="810">
        <f t="shared" si="2"/>
        <v>0</v>
      </c>
      <c r="R15" s="278"/>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BEV</v>
      </c>
      <c r="D16" s="681"/>
      <c r="E16" s="681"/>
      <c r="F16" s="281" t="str">
        <f t="shared" si="1"/>
        <v>Electricity</v>
      </c>
      <c r="G16" s="280" t="str">
        <f t="shared" si="1"/>
        <v>N/A</v>
      </c>
      <c r="H16" s="993" t="b">
        <f t="shared" si="1"/>
        <v>1</v>
      </c>
      <c r="I16" s="845">
        <f t="shared" si="1"/>
        <v>2021</v>
      </c>
      <c r="J16" s="841">
        <f t="shared" si="1"/>
        <v>0</v>
      </c>
      <c r="K16" s="282">
        <f t="shared" si="1"/>
        <v>0.5</v>
      </c>
      <c r="L16" s="282">
        <f t="shared" si="1"/>
        <v>5000</v>
      </c>
      <c r="M16" s="282">
        <f t="shared" si="1"/>
        <v>100</v>
      </c>
      <c r="N16" s="282">
        <f t="shared" si="1"/>
        <v>0</v>
      </c>
      <c r="O16" s="282">
        <f t="shared" si="1"/>
        <v>350</v>
      </c>
      <c r="P16" s="811">
        <f>$D$6*('Inputs 7&amp;8 Day'!$N13/('Inputs 7&amp;8 Day'!$O13*1000))/12</f>
        <v>0</v>
      </c>
      <c r="Q16" s="812">
        <f t="shared" si="2"/>
        <v>0</v>
      </c>
      <c r="R16" s="278"/>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c r="Z17"/>
      <c r="AA17"/>
      <c r="AB17"/>
      <c r="AC17"/>
      <c r="AD17"/>
      <c r="AE17"/>
      <c r="AF17"/>
      <c r="AG17"/>
      <c r="AH17"/>
      <c r="AI17"/>
      <c r="AJ17"/>
      <c r="AK17"/>
      <c r="AL17"/>
      <c r="AM17"/>
      <c r="AN17" s="898" t="s">
        <v>78</v>
      </c>
      <c r="AO17" s="902">
        <v>2</v>
      </c>
      <c r="AP17" s="899" t="s">
        <v>101</v>
      </c>
      <c r="AQ17" s="902">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T18" s="288"/>
      <c r="Y18"/>
      <c r="Z18"/>
      <c r="AA18"/>
      <c r="AB18"/>
      <c r="AC18"/>
      <c r="AD18"/>
      <c r="AE18"/>
      <c r="AF18"/>
      <c r="AG18"/>
      <c r="AH18"/>
      <c r="AI18"/>
      <c r="AJ18"/>
      <c r="AK18"/>
      <c r="AL18"/>
      <c r="AM18"/>
      <c r="AN18" s="900" t="s">
        <v>79</v>
      </c>
      <c r="AO18" s="903">
        <v>0.6</v>
      </c>
      <c r="AP18" s="901"/>
      <c r="AQ18" s="901"/>
      <c r="AR18" s="897"/>
      <c r="AS18" s="907" t="s">
        <v>105</v>
      </c>
      <c r="AT18" s="908"/>
      <c r="AU18" s="909">
        <v>4</v>
      </c>
      <c r="AV18" s="908" t="s">
        <v>111</v>
      </c>
      <c r="AW18" s="897"/>
      <c r="AX18" s="895"/>
      <c r="AY18" s="906"/>
      <c r="AZ18" s="896"/>
      <c r="BA18" s="896"/>
      <c r="BB18"/>
      <c r="BC18"/>
      <c r="BD18"/>
      <c r="BE18"/>
      <c r="BF18"/>
      <c r="BG18"/>
      <c r="BH18"/>
    </row>
    <row r="19" spans="1:60" s="29" customFormat="1" ht="15.75" thickBot="1" x14ac:dyDescent="0.3">
      <c r="A19" s="910"/>
      <c r="B19" s="1566" t="s">
        <v>240</v>
      </c>
      <c r="C19" s="1567"/>
      <c r="D19" s="1567"/>
      <c r="E19" s="1567"/>
      <c r="F19" s="1567"/>
      <c r="G19" s="1568"/>
      <c r="H19" s="1566" t="s">
        <v>226</v>
      </c>
      <c r="I19" s="1567"/>
      <c r="J19" s="1567"/>
      <c r="K19" s="1567"/>
      <c r="L19" s="1567"/>
      <c r="M19" s="1568"/>
      <c r="N19" s="1567" t="s">
        <v>71</v>
      </c>
      <c r="O19" s="1567"/>
      <c r="P19" s="1567"/>
      <c r="Q19" s="1567"/>
      <c r="R19" s="1567"/>
      <c r="S19" s="1568"/>
      <c r="T19" s="1566" t="s">
        <v>107</v>
      </c>
      <c r="U19" s="1567"/>
      <c r="V19" s="1567"/>
      <c r="W19" s="1567"/>
      <c r="X19" s="1568"/>
      <c r="Y19" s="1566" t="s">
        <v>72</v>
      </c>
      <c r="Z19" s="1567"/>
      <c r="AA19" s="1567"/>
      <c r="AB19" s="1567"/>
      <c r="AC19" s="1568"/>
      <c r="AD19" s="1566" t="s">
        <v>92</v>
      </c>
      <c r="AE19" s="1567"/>
      <c r="AF19" s="1567"/>
      <c r="AG19" s="1567"/>
      <c r="AH19" s="1568"/>
      <c r="AI19" s="1566" t="s">
        <v>76</v>
      </c>
      <c r="AJ19" s="1567"/>
      <c r="AK19" s="1567"/>
      <c r="AL19" s="1567"/>
      <c r="AM19" s="1568"/>
      <c r="AN19" s="1566" t="s">
        <v>100</v>
      </c>
      <c r="AO19" s="1567"/>
      <c r="AP19" s="1567"/>
      <c r="AQ19" s="1567"/>
      <c r="AR19" s="1568"/>
      <c r="AS19" s="1566" t="s">
        <v>73</v>
      </c>
      <c r="AT19" s="1567"/>
      <c r="AU19" s="1567"/>
      <c r="AV19" s="1567"/>
      <c r="AW19" s="1568"/>
      <c r="AX19" s="1566" t="s">
        <v>102</v>
      </c>
      <c r="AY19" s="1567"/>
      <c r="AZ19" s="1567"/>
      <c r="BA19" s="1567"/>
      <c r="BB19" s="1568"/>
      <c r="BC19" s="1566" t="s">
        <v>82</v>
      </c>
      <c r="BD19" s="1567"/>
      <c r="BE19" s="1567"/>
      <c r="BF19" s="1567"/>
      <c r="BG19" s="1567"/>
      <c r="BH19" s="1568"/>
    </row>
    <row r="20" spans="1:60" ht="15" customHeight="1" x14ac:dyDescent="0.2">
      <c r="A20" s="290"/>
      <c r="B20" s="1144" t="s">
        <v>69</v>
      </c>
      <c r="C20" s="1145" t="s">
        <v>65</v>
      </c>
      <c r="D20" s="1145" t="s">
        <v>66</v>
      </c>
      <c r="E20" s="1145" t="s">
        <v>67</v>
      </c>
      <c r="F20" s="1145" t="s">
        <v>207</v>
      </c>
      <c r="G20" s="1191" t="s">
        <v>208</v>
      </c>
      <c r="H20" s="1144" t="s">
        <v>69</v>
      </c>
      <c r="I20" s="1145" t="s">
        <v>65</v>
      </c>
      <c r="J20" s="1145" t="s">
        <v>66</v>
      </c>
      <c r="K20" s="1145" t="s">
        <v>67</v>
      </c>
      <c r="L20" s="1145" t="s">
        <v>207</v>
      </c>
      <c r="M20" s="1191"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150" t="s">
        <v>65</v>
      </c>
      <c r="AJ20" s="1151" t="s">
        <v>66</v>
      </c>
      <c r="AK20" s="1151" t="s">
        <v>67</v>
      </c>
      <c r="AL20" s="1145" t="s">
        <v>207</v>
      </c>
      <c r="AM20" s="1191"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52" customFormat="1" x14ac:dyDescent="0.2">
      <c r="A21" s="872"/>
      <c r="B21" s="1179"/>
      <c r="C21" s="1180"/>
      <c r="D21" s="1180"/>
      <c r="E21" s="1180"/>
      <c r="F21" s="1180"/>
      <c r="G21" s="1181"/>
      <c r="H21" s="1100" t="str">
        <f>IF(INDEX($G$11:$G$16,MATCH(H20,$B$11:$B$16,0))="N/A","Single-fuel","Dual-Fuel")</f>
        <v>Single-fuel</v>
      </c>
      <c r="I21" s="1101" t="str">
        <f t="shared" ref="I21:M21" si="3">IF(INDEX($G$11:$G$16,MATCH(I20,$B$11:$B$16,0))="N/A","Single-fuel","Dual-Fuel")</f>
        <v>Single-fuel</v>
      </c>
      <c r="J21" s="1101" t="str">
        <f t="shared" si="3"/>
        <v>Single-fuel</v>
      </c>
      <c r="K21" s="1101" t="str">
        <f t="shared" si="3"/>
        <v>Single-fuel</v>
      </c>
      <c r="L21" s="1101" t="str">
        <f t="shared" si="3"/>
        <v>Dual-Fuel</v>
      </c>
      <c r="M21" s="1102" t="str">
        <f t="shared" si="3"/>
        <v>Single-fuel</v>
      </c>
      <c r="N21" s="1100" t="str">
        <f>INDEX($F$11:$F$16,MATCH(N20,$B$11:$B$16,0))</f>
        <v>Diesel</v>
      </c>
      <c r="O21" s="1101" t="str">
        <f t="shared" ref="O21:S21" si="4">INDEX($F$11:$F$16,MATCH(O20,$B$11:$B$16,0))</f>
        <v>Diesel</v>
      </c>
      <c r="P21" s="1101" t="str">
        <f t="shared" si="4"/>
        <v>Diesel</v>
      </c>
      <c r="Q21" s="1101" t="str">
        <f t="shared" si="4"/>
        <v>Diesel</v>
      </c>
      <c r="R21" s="1101" t="str">
        <f t="shared" si="4"/>
        <v>Diesel</v>
      </c>
      <c r="S21" s="1102" t="str">
        <f t="shared" si="4"/>
        <v>Electricity</v>
      </c>
      <c r="T21" s="1577" t="s">
        <v>117</v>
      </c>
      <c r="U21" s="1578"/>
      <c r="V21" s="1578"/>
      <c r="W21" s="1578"/>
      <c r="X21" s="1579"/>
      <c r="Y21" s="1100" t="str">
        <f t="shared" ref="Y21" si="5">INDEX($F$11:$F$16,MATCH(Y20,$B$11:$B$16,0))</f>
        <v>Diesel</v>
      </c>
      <c r="Z21" s="1101" t="str">
        <f t="shared" ref="Z21" si="6">INDEX($F$11:$F$16,MATCH(Z20,$B$11:$B$16,0))</f>
        <v>Diesel</v>
      </c>
      <c r="AA21" s="1101" t="str">
        <f t="shared" ref="AA21" si="7">INDEX($F$11:$F$16,MATCH(AA20,$B$11:$B$16,0))</f>
        <v>Diesel</v>
      </c>
      <c r="AB21" s="1101" t="str">
        <f t="shared" ref="AB21" si="8">INDEX($F$11:$F$16,MATCH(AB20,$B$11:$B$16,0))</f>
        <v>Diesel</v>
      </c>
      <c r="AC21" s="1102" t="str">
        <f t="shared" ref="AC21" si="9">INDEX($F$11:$F$16,MATCH(AC20,$B$11:$B$16,0))</f>
        <v>Electricity</v>
      </c>
      <c r="AD21" s="1123">
        <f>INDEX($L$11:$L$16,MATCH(AD20,$B$11:$B$16,0))</f>
        <v>5000</v>
      </c>
      <c r="AE21" s="1124">
        <f>INDEX($L$11:$L$16,MATCH(AE20,$B$11:$B$16,0))</f>
        <v>5000</v>
      </c>
      <c r="AF21" s="1124">
        <f>INDEX($L$11:$L$16,MATCH(AF20,$B$11:$B$16,0))</f>
        <v>5000</v>
      </c>
      <c r="AG21" s="1124">
        <f>INDEX($L$11:$L$16,MATCH(AG20,$B$11:$B$16,0))</f>
        <v>5000</v>
      </c>
      <c r="AH21" s="1125">
        <f>INDEX($L$11:$L$16,MATCH(AH20,$B$11:$B$16,0))</f>
        <v>5000</v>
      </c>
      <c r="AI21" s="1159">
        <f>INDEX($J$11:$J$16,MATCH(AI20,$B$11:$B$16,0))</f>
        <v>0</v>
      </c>
      <c r="AJ21" s="1160">
        <f t="shared" ref="AJ21:AM21" si="10">INDEX($J$11:$J$16,MATCH(AJ20,$B$11:$B$16,0))</f>
        <v>0</v>
      </c>
      <c r="AK21" s="1160">
        <f t="shared" si="10"/>
        <v>0</v>
      </c>
      <c r="AL21" s="1160">
        <f t="shared" si="10"/>
        <v>0</v>
      </c>
      <c r="AM21" s="1161">
        <f t="shared" si="10"/>
        <v>0</v>
      </c>
      <c r="AN21" s="1100" t="str">
        <f t="shared" ref="AN21" si="11">INDEX($F$11:$F$16,MATCH(AN20,$B$11:$B$16,0))</f>
        <v>Diesel</v>
      </c>
      <c r="AO21" s="1101" t="str">
        <f t="shared" ref="AO21" si="12">INDEX($F$11:$F$16,MATCH(AO20,$B$11:$B$16,0))</f>
        <v>Diesel</v>
      </c>
      <c r="AP21" s="1101" t="str">
        <f t="shared" ref="AP21" si="13">INDEX($F$11:$F$16,MATCH(AP20,$B$11:$B$16,0))</f>
        <v>Diesel</v>
      </c>
      <c r="AQ21" s="1101" t="str">
        <f t="shared" ref="AQ21" si="14">INDEX($F$11:$F$16,MATCH(AQ20,$B$11:$B$16,0))</f>
        <v>Diesel</v>
      </c>
      <c r="AR21" s="1102" t="str">
        <f t="shared" ref="AR21" si="15">INDEX($F$11:$F$16,MATCH(AR20,$B$11:$B$16,0))</f>
        <v>Electricity</v>
      </c>
      <c r="AS21" s="1100" t="str">
        <f t="shared" ref="AS21" si="16">INDEX($F$11:$F$16,MATCH(AS20,$B$11:$B$16,0))</f>
        <v>Diesel</v>
      </c>
      <c r="AT21" s="1101" t="str">
        <f t="shared" ref="AT21" si="17">INDEX($F$11:$F$16,MATCH(AT20,$B$11:$B$16,0))</f>
        <v>Diesel</v>
      </c>
      <c r="AU21" s="1101" t="str">
        <f t="shared" ref="AU21" si="18">INDEX($F$11:$F$16,MATCH(AU20,$B$11:$B$16,0))</f>
        <v>Diesel</v>
      </c>
      <c r="AV21" s="1101" t="str">
        <f t="shared" ref="AV21" si="19">INDEX($F$11:$F$16,MATCH(AV20,$B$11:$B$16,0))</f>
        <v>Diesel</v>
      </c>
      <c r="AW21" s="1102" t="str">
        <f t="shared" ref="AW21" si="20">INDEX($F$11:$F$16,MATCH(AW20,$B$11:$B$16,0))</f>
        <v>Electricity</v>
      </c>
      <c r="AX21" s="1100" t="str">
        <f t="shared" ref="AX21" si="21">INDEX($F$11:$F$16,MATCH(AX20,$B$11:$B$16,0))</f>
        <v>Diesel</v>
      </c>
      <c r="AY21" s="1101" t="str">
        <f t="shared" ref="AY21" si="22">INDEX($F$11:$F$16,MATCH(AY20,$B$11:$B$16,0))</f>
        <v>Diesel</v>
      </c>
      <c r="AZ21" s="1101" t="str">
        <f t="shared" ref="AZ21" si="23">INDEX($F$11:$F$16,MATCH(AZ20,$B$11:$B$16,0))</f>
        <v>Diesel</v>
      </c>
      <c r="BA21" s="1101" t="str">
        <f t="shared" ref="BA21" si="24">INDEX($F$11:$F$16,MATCH(BA20,$B$11:$B$16,0))</f>
        <v>Diesel</v>
      </c>
      <c r="BB21" s="1102" t="str">
        <f t="shared" ref="BB21" si="25">INDEX($F$11:$F$16,MATCH(BB20,$B$11:$B$16,0))</f>
        <v>Electricity</v>
      </c>
      <c r="BC21" s="1133" t="str">
        <f>INDEX($F$11:$F$16,MATCH(BC20,$B$11:$B$16,0))</f>
        <v>Diesel</v>
      </c>
      <c r="BD21" s="1101" t="str">
        <f t="shared" ref="BD21:BH21" si="26">INDEX($F$11:$F$16,MATCH(BD20,$B$11:$B$16,0))</f>
        <v>Diesel</v>
      </c>
      <c r="BE21" s="1101" t="str">
        <f t="shared" si="26"/>
        <v>Diesel</v>
      </c>
      <c r="BF21" s="1101" t="str">
        <f t="shared" si="26"/>
        <v>Diesel</v>
      </c>
      <c r="BG21" s="1101" t="str">
        <f t="shared" si="26"/>
        <v>Diesel</v>
      </c>
      <c r="BH21" s="1102" t="str">
        <f t="shared" si="26"/>
        <v>Electricity</v>
      </c>
    </row>
    <row r="22" spans="1:60" x14ac:dyDescent="0.2">
      <c r="A22" s="872"/>
      <c r="B22" s="1179"/>
      <c r="C22" s="1180"/>
      <c r="D22" s="1180"/>
      <c r="E22" s="1180"/>
      <c r="F22" s="1180"/>
      <c r="G22" s="1181"/>
      <c r="H22" s="1185"/>
      <c r="I22" s="1186"/>
      <c r="J22" s="1186"/>
      <c r="K22" s="1186"/>
      <c r="L22" s="1186"/>
      <c r="M22" s="1187"/>
      <c r="N22" s="1103"/>
      <c r="O22" s="1104"/>
      <c r="P22" s="1104"/>
      <c r="Q22" s="1104"/>
      <c r="R22" s="1104"/>
      <c r="S22" s="1105"/>
      <c r="T22" s="1109">
        <f>Q12</f>
        <v>0</v>
      </c>
      <c r="U22" s="1110">
        <f>Q13</f>
        <v>0</v>
      </c>
      <c r="V22" s="1110">
        <f>Q14</f>
        <v>0</v>
      </c>
      <c r="W22" s="1110">
        <f>Q15</f>
        <v>0</v>
      </c>
      <c r="X22" s="1111">
        <f>Q16</f>
        <v>0</v>
      </c>
      <c r="Y22" s="1100" t="b">
        <f>INDEX($H$11:$H$16,MATCH(Y20,$B$11:$B$16,0))</f>
        <v>0</v>
      </c>
      <c r="Z22" s="1118" t="b">
        <f t="shared" ref="Z22:AC22" si="27">INDEX($H$11:$H$16,MATCH(Z20,$B$11:$B$16,0))</f>
        <v>0</v>
      </c>
      <c r="AA22" s="1118" t="b">
        <f t="shared" si="27"/>
        <v>0</v>
      </c>
      <c r="AB22" s="1118" t="b">
        <f t="shared" si="27"/>
        <v>0</v>
      </c>
      <c r="AC22" s="1119" t="b">
        <f t="shared" si="27"/>
        <v>1</v>
      </c>
      <c r="AD22" s="1123">
        <f>INDEX($M$11:$M$16,MATCH(AD20,$B$11:$B$16,0))</f>
        <v>100</v>
      </c>
      <c r="AE22" s="1126">
        <f>INDEX($M$11:$M$16,MATCH(AE20,$B$11:$B$16,0))</f>
        <v>100</v>
      </c>
      <c r="AF22" s="1126">
        <f>INDEX($M$11:$M$16,MATCH(AF20,$B$11:$B$16,0))</f>
        <v>100</v>
      </c>
      <c r="AG22" s="1126">
        <f>INDEX($M$11:$M$16,MATCH(AG20,$B$11:$B$16,0))</f>
        <v>100</v>
      </c>
      <c r="AH22" s="1127">
        <f>INDEX($M$11:$M$16,MATCH(AH20,$B$11:$B$16,0))</f>
        <v>100</v>
      </c>
      <c r="AI22" s="1159">
        <f>INDEX($K$11:$K$16,MATCH(AI20,$B$11:$B$16,0))</f>
        <v>0.5</v>
      </c>
      <c r="AJ22" s="1160">
        <f t="shared" ref="AJ22:AM22" si="28">INDEX($K$11:$K$16,MATCH(AJ20,$B$11:$B$16,0))</f>
        <v>0.5</v>
      </c>
      <c r="AK22" s="1160">
        <f t="shared" si="28"/>
        <v>0.5</v>
      </c>
      <c r="AL22" s="1160">
        <f t="shared" si="28"/>
        <v>0.5</v>
      </c>
      <c r="AM22" s="1161">
        <f t="shared" si="28"/>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47"/>
      <c r="B23" s="1182"/>
      <c r="C23" s="1183"/>
      <c r="D23" s="1183"/>
      <c r="E23" s="1183"/>
      <c r="F23" s="1183"/>
      <c r="G23" s="1184"/>
      <c r="H23" s="1188"/>
      <c r="I23" s="1189"/>
      <c r="J23" s="1189"/>
      <c r="K23" s="1189"/>
      <c r="L23" s="1189"/>
      <c r="M23" s="1190"/>
      <c r="N23" s="1106"/>
      <c r="O23" s="1107"/>
      <c r="P23" s="1107"/>
      <c r="Q23" s="1107"/>
      <c r="R23" s="1107"/>
      <c r="S23" s="1108"/>
      <c r="T23" s="1112"/>
      <c r="U23" s="1113"/>
      <c r="V23" s="1113"/>
      <c r="W23" s="1113"/>
      <c r="X23" s="1114"/>
      <c r="Y23" s="1128"/>
      <c r="Z23" s="1131"/>
      <c r="AA23" s="1131"/>
      <c r="AB23" s="1131"/>
      <c r="AC23" s="1132"/>
      <c r="AD23" s="1128"/>
      <c r="AE23" s="1129"/>
      <c r="AF23" s="1129"/>
      <c r="AG23" s="1129"/>
      <c r="AH23" s="1130"/>
      <c r="AI23" s="1128">
        <f>INDEX($I$11:$I$16,MATCH(AI20,$B$11:$B$16,0))</f>
        <v>2021</v>
      </c>
      <c r="AJ23" s="1131">
        <f t="shared" ref="AJ23:AM23" si="29">INDEX($I$11:$I$16,MATCH(AJ20,$B$11:$B$16,0))</f>
        <v>2021</v>
      </c>
      <c r="AK23" s="1131">
        <f t="shared" si="29"/>
        <v>2021</v>
      </c>
      <c r="AL23" s="1131">
        <f t="shared" si="29"/>
        <v>2021</v>
      </c>
      <c r="AM23" s="1132">
        <f t="shared" si="29"/>
        <v>2021</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30">ROUND(INDEX(COST_Cls3,$A24-($A$24-1),MATCH(B$20,TECHOPTS_Cls3,0)),2)</f>
        <v>96771.81</v>
      </c>
      <c r="C24" s="914">
        <f t="shared" si="30"/>
        <v>1000000</v>
      </c>
      <c r="D24" s="914">
        <f t="shared" si="30"/>
        <v>1000000</v>
      </c>
      <c r="E24" s="914">
        <f t="shared" si="30"/>
        <v>1000000</v>
      </c>
      <c r="F24" s="914">
        <f t="shared" si="30"/>
        <v>1000000</v>
      </c>
      <c r="G24" s="915">
        <f t="shared" si="30"/>
        <v>1000000</v>
      </c>
      <c r="H24" s="886">
        <f t="shared" ref="H24:M33" si="31">IF(H$21="Single-fuel",1,1-MIN(INDEX(CDRANGE_CLS3,$A24-($A$24-1),MATCH(H$20,TECHOPTS_Cls3,0))*OPDAYS_Cls3/$D$6,1))</f>
        <v>1</v>
      </c>
      <c r="I24" s="887">
        <f t="shared" si="31"/>
        <v>1</v>
      </c>
      <c r="J24" s="887">
        <f t="shared" si="31"/>
        <v>1</v>
      </c>
      <c r="K24" s="887">
        <f t="shared" si="31"/>
        <v>1</v>
      </c>
      <c r="L24" s="887">
        <f t="shared" si="31"/>
        <v>1</v>
      </c>
      <c r="M24" s="888">
        <f t="shared" si="31"/>
        <v>1</v>
      </c>
      <c r="N24" s="8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9556.2017150516931</v>
      </c>
      <c r="O24" s="294">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56040.06973312499</v>
      </c>
      <c r="P24" s="294">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56040.06973312499</v>
      </c>
      <c r="Q24" s="294">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56040.06973312499</v>
      </c>
      <c r="R24" s="294">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56040.06973312499</v>
      </c>
      <c r="S24" s="294">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93">
        <f t="shared" ref="T24:T67" si="38">$N24-O24+T$22</f>
        <v>-46483.868018073299</v>
      </c>
      <c r="U24" s="294">
        <f t="shared" ref="U24:U67" si="39">$N24-P24+U$22</f>
        <v>-46483.868018073299</v>
      </c>
      <c r="V24" s="294">
        <f t="shared" ref="V24:V67" si="40">$N24-Q24+V$22</f>
        <v>-46483.868018073299</v>
      </c>
      <c r="W24" s="294">
        <f t="shared" ref="W24:W67" si="41">$N24-R24+W$22</f>
        <v>-46483.868018073299</v>
      </c>
      <c r="X24" s="296">
        <f t="shared" ref="X24:X67" si="42">$N24-S24+X$22</f>
        <v>-73674.720909948315</v>
      </c>
      <c r="Y24" s="297">
        <f ca="1">IF(AND(Y$22=TRUE,INDEX(CDRANGE_CLS3,MATCH($A24,$A$24:$A$67,0),MATCH(Y$20,$B$20:$G$20,0))&lt;$D$6/OPDAYS_Cls3),86,payback(C24,T24,disc_rate/12,85))</f>
        <v>86</v>
      </c>
      <c r="Z24" s="298">
        <f ca="1">IF(AND(Z$22=TRUE,INDEX(CDRANGE_CLS3,MATCH($A24,$A$24:$A$67,0),MATCH(Z$20,$B$20:$G$20,0))&lt;$D$6/OPDAYS_Cls3),86,payback(D24,U24,disc_rate/12,85))</f>
        <v>86</v>
      </c>
      <c r="AA24" s="298">
        <f ca="1">IF(AND(AA$22=TRUE,INDEX(CDRANGE_CLS3,MATCH($A24,$A$24:$A$67,0),MATCH(AA$20,$B$20:$G$20,0))&lt;$D$6/OPDAYS_Cls3),86,payback(E24,V24,disc_rate/12,85))</f>
        <v>86</v>
      </c>
      <c r="AB24" s="298">
        <f ca="1">IF(AND(AB$22=TRUE,INDEX(CDRANGE_CLS3,MATCH($A24,$A$24:$A$67,0),MATCH(AB$20,$B$20:$G$20,0))&lt;$D$6/OPDAYS_Cls3),86,payback(F24,W24,disc_rate/12,85))</f>
        <v>86</v>
      </c>
      <c r="AC24" s="299">
        <f>IF(AND(AC$22=TRUE,INDEX(CDRANGE_CLS3,MATCH($A24,$A$24:$A$67,0),MATCH(AC$20,$B$20:$G$20,0))&lt;$D$6/OPDAYS_Cls3),86,payback(G24,X24,disc_rate/12,85))</f>
        <v>86</v>
      </c>
      <c r="AD24" s="300">
        <f t="shared" ref="AD24:AD67" si="43">IF(AND(C24&lt;=AD$21,$N24-O24&gt;=-AD$22),AI24*VLOOKUP(C24/AD$21,FirstCostInd,2,TRUE)*VLOOKUP(($N24-O24)/AD$22,FuelCostInd,2,1),0)</f>
        <v>0</v>
      </c>
      <c r="AE24" s="301">
        <f t="shared" ref="AE24:AE67" si="44">IF(AND(D24&lt;=AE$21,$N24-P24&gt;=-AE$22),AJ24*VLOOKUP(D24/AE$21,FirstCostInd,2,TRUE)*VLOOKUP(($N24-P24)/AE$22,FuelCostInd,2,1),0)</f>
        <v>0</v>
      </c>
      <c r="AF24" s="301">
        <f t="shared" ref="AF24:AF67" si="45">IF(AND(E24&lt;=AF$21,$N24-Q24&gt;=-AF$22),AK24*VLOOKUP(E24/AF$21,FirstCostInd,2,TRUE)*VLOOKUP(($N24-Q24)/AF$22,FuelCostInd,2,1),0)</f>
        <v>0</v>
      </c>
      <c r="AG24" s="301">
        <f t="shared" ref="AG24:AG67" si="46">IF(AND(F24&lt;=AG$21,$N24-R24&gt;=-AG$22),AL24*VLOOKUP(F24/AG$21,FirstCostInd,2,TRUE)*VLOOKUP(($N24-R24)/AG$22,FuelCostInd,2,1),0)</f>
        <v>0</v>
      </c>
      <c r="AH24" s="744">
        <f t="shared" ref="AH24:AH67" si="47">IF(AND(G24&lt;=AH$21,$N24-S24&gt;=-AH$22),AM24*VLOOKUP(G24/AH$21,FirstCostInd,2,TRUE)*VLOOKUP(($N24-S24)/AH$22,FuelCostInd,2,1),0)</f>
        <v>0</v>
      </c>
      <c r="AI24" s="303">
        <f t="shared" ref="AI24:AI67" si="48">IF($A24&lt;AI$23,0,AI$21+VLOOKUP($A24-AI$23,SCdata,2,1)*(AI$22-AI$21))*IF($D$5="Non-Central",INDEX(fuel_avail,$A24-$A$24+1,MATCH(O$21,Fuels,0)),1)</f>
        <v>0</v>
      </c>
      <c r="AJ24" s="304">
        <f t="shared" ref="AJ24:AJ67" si="49">IF($A24&lt;AJ$23,0,AJ$21+VLOOKUP($A24-AJ$23,SCdata,2,1)*(AJ$22-AJ$21))*IF($D$5="Non-Central",INDEX(fuel_avail,$A24-$A$24+1,MATCH(P$21,Fuels,0)),1)</f>
        <v>0</v>
      </c>
      <c r="AK24" s="304">
        <f t="shared" ref="AK24:AK67" si="50">IF($A24&lt;AK$23,0,AK$21+VLOOKUP($A24-AK$23,SCdata,2,1)*(AK$22-AK$21))*IF($D$5="Non-Central",INDEX(fuel_avail,$A24-$A$24+1,MATCH(Q$21,Fuels,0)),1)</f>
        <v>0</v>
      </c>
      <c r="AL24" s="304">
        <f t="shared" ref="AL24:AL67" si="51">IF($A24&lt;AL$23,0,AL$21+VLOOKUP($A24-AL$23,SCdata,2,1)*(AL$22-AL$21))*IF($D$5="Non-Central",INDEX(fuel_avail,$A24-$A$24+1,MATCH(R$21,Fuels,0)),1)</f>
        <v>0</v>
      </c>
      <c r="AM24" s="305">
        <f t="shared" ref="AM24:AM67" si="52">IF($A24&lt;AM$23,0,AM$21+VLOOKUP($A24-AM$23,SCdata,2,1)*(AM$22-AM$21))*IF($D$5="Non-Central",INDEX(fuel_avail,$A24-$A$24+1,MATCH(S$21,Fuels,0)),1)</f>
        <v>0</v>
      </c>
      <c r="AN24" s="303">
        <f>IF(C24&lt;0,1,$AQ$17*(1-WEIBULL(C24/$B24,$AO$17,$AO$18,1)))</f>
        <v>0</v>
      </c>
      <c r="AO24" s="304">
        <f t="shared" ref="AO24:AR39" si="53">IF(D24&lt;0,1,$AQ$17*(1-WEIBULL(D24/$B24,$AO$17,$AO$18,1)))</f>
        <v>0</v>
      </c>
      <c r="AP24" s="304">
        <f t="shared" si="53"/>
        <v>0</v>
      </c>
      <c r="AQ24" s="304">
        <f t="shared" si="53"/>
        <v>0</v>
      </c>
      <c r="AR24" s="305">
        <f t="shared" si="53"/>
        <v>0</v>
      </c>
      <c r="AS24" s="300">
        <f t="shared" ref="AS24:AS67" ca="1" si="54">MIN(1,MAX(AD24,IF(Y24&gt;85,0,(AI24/0.5)*VLOOKUP(Y24,AdoptDec,$AU$18,0))))</f>
        <v>0</v>
      </c>
      <c r="AT24" s="301">
        <f t="shared" ref="AT24:AT67" ca="1" si="55">MIN(1,MAX(AE24,IF(Z24&gt;85,0,(AJ24/0.5)*VLOOKUP(Z24,AdoptDec,$AU$18,0))))</f>
        <v>0</v>
      </c>
      <c r="AU24" s="911">
        <f t="shared" ref="AU24:AU67" ca="1" si="56">MIN(1,MAX(AF24,IF(AA24&gt;85,0,(AK24/0.5)*VLOOKUP(AA24,AdoptDec,$AU$18,0))))</f>
        <v>0</v>
      </c>
      <c r="AV24" s="911">
        <f t="shared" ref="AV24:AV67" ca="1" si="57">MIN(1,MAX(AG24,IF(AB24&gt;85,0,(AL24/0.5)*VLOOKUP(AB24,AdoptDec,$AU$18,0))))</f>
        <v>0</v>
      </c>
      <c r="AW24" s="912">
        <f t="shared" ref="AW24:AW67" si="58">MIN(1,MAX(AH24,IF(AC24&gt;85,0,(AM24/0.5)*VLOOKUP(AC24,AdoptDec,$AU$18,0))))</f>
        <v>0</v>
      </c>
      <c r="AX24" s="860">
        <f t="shared" ref="AX24:BB67" ca="1" si="59">MIN(AS24*AN24,1)</f>
        <v>0</v>
      </c>
      <c r="AY24" s="301">
        <f t="shared" ca="1" si="59"/>
        <v>0</v>
      </c>
      <c r="AZ24" s="301">
        <f t="shared" ca="1" si="59"/>
        <v>0</v>
      </c>
      <c r="BA24" s="301">
        <f t="shared" ca="1" si="59"/>
        <v>0</v>
      </c>
      <c r="BB24" s="744">
        <f t="shared" si="59"/>
        <v>0</v>
      </c>
      <c r="BC24" s="300">
        <f ca="1">1-SUM(BD24:BH24)</f>
        <v>1</v>
      </c>
      <c r="BD24" s="301">
        <f t="shared" ref="BD24:BD67" ca="1" si="60">IF(SUM($AX24:$BB24)=0,0,MAX($AX24:$BB24)*(AI24*AX24/SUMPRODUCT($AI24:$AM24,$AX24:$BB24)))</f>
        <v>0</v>
      </c>
      <c r="BE24" s="301">
        <f t="shared" ref="BE24:BE67" ca="1" si="61">IF(SUM($AX24:$BB24)=0,0,MAX($AX24:$BB24)*(AJ24*AY24/SUMPRODUCT($AI24:$AM24,$AX24:$BB24)))</f>
        <v>0</v>
      </c>
      <c r="BF24" s="301">
        <f t="shared" ref="BF24:BF67" ca="1" si="62">IF(SUM($AX24:$BB24)=0,0,MAX($AX24:$BB24)*(AK24*AZ24/SUMPRODUCT($AI24:$AM24,$AX24:$BB24)))</f>
        <v>0</v>
      </c>
      <c r="BG24" s="301">
        <f t="shared" ref="BG24:BG67" ca="1" si="63">IF(SUM($AX24:$BB24)=0,0,MAX($AX24:$BB24)*(AL24*BA24/SUMPRODUCT($AI24:$AM24,$AX24:$BB24)))</f>
        <v>0</v>
      </c>
      <c r="BH24" s="302">
        <f t="shared" ref="BH24:BH67" ca="1" si="64">IF(SUM($AX24:$BB24)=0,0,MAX($AX24:$BB24)*(AM24*BB24/SUMPRODUCT($AI24:$AM24,$AX24:$BB24)))</f>
        <v>0</v>
      </c>
    </row>
    <row r="25" spans="1:60" x14ac:dyDescent="0.2">
      <c r="A25" s="306">
        <v>2008</v>
      </c>
      <c r="B25" s="916">
        <f t="shared" si="30"/>
        <v>96771.81</v>
      </c>
      <c r="C25" s="917">
        <f t="shared" si="30"/>
        <v>1000000</v>
      </c>
      <c r="D25" s="917">
        <f t="shared" si="30"/>
        <v>1000000</v>
      </c>
      <c r="E25" s="917">
        <f t="shared" si="30"/>
        <v>1000000</v>
      </c>
      <c r="F25" s="917">
        <f t="shared" si="30"/>
        <v>1000000</v>
      </c>
      <c r="G25" s="918">
        <f t="shared" si="30"/>
        <v>1000000</v>
      </c>
      <c r="H25" s="886">
        <f t="shared" si="31"/>
        <v>1</v>
      </c>
      <c r="I25" s="887">
        <f t="shared" si="31"/>
        <v>1</v>
      </c>
      <c r="J25" s="887">
        <f t="shared" si="31"/>
        <v>1</v>
      </c>
      <c r="K25" s="887">
        <f t="shared" si="31"/>
        <v>1</v>
      </c>
      <c r="L25" s="887">
        <f t="shared" si="31"/>
        <v>1</v>
      </c>
      <c r="M25" s="888">
        <f t="shared" si="31"/>
        <v>1</v>
      </c>
      <c r="N25" s="833">
        <f t="shared" si="32"/>
        <v>13345.410965774086</v>
      </c>
      <c r="O25" s="294">
        <f t="shared" si="33"/>
        <v>78260.985215624984</v>
      </c>
      <c r="P25" s="294">
        <f t="shared" si="34"/>
        <v>78260.985215624984</v>
      </c>
      <c r="Q25" s="294">
        <f t="shared" si="35"/>
        <v>78260.985215624984</v>
      </c>
      <c r="R25" s="294">
        <f t="shared" si="36"/>
        <v>78260.985215624984</v>
      </c>
      <c r="S25" s="296">
        <f t="shared" si="37"/>
        <v>108100.35101624999</v>
      </c>
      <c r="T25" s="307">
        <f t="shared" si="38"/>
        <v>-64915.574249850899</v>
      </c>
      <c r="U25" s="308">
        <f t="shared" si="39"/>
        <v>-64915.574249850899</v>
      </c>
      <c r="V25" s="308">
        <f t="shared" si="40"/>
        <v>-64915.574249850899</v>
      </c>
      <c r="W25" s="308">
        <f t="shared" si="41"/>
        <v>-64915.574249850899</v>
      </c>
      <c r="X25" s="310">
        <f t="shared" si="42"/>
        <v>-94754.940050475896</v>
      </c>
      <c r="Y25" s="297">
        <f ca="1">IF(AND(Y$22=TRUE,INDEX(CDRANGE_CLS3,MATCH($A25,$A$24:$A$67,0),MATCH(Y$20,$B$20:$G$20,0))&lt;$D$6/OPDAYS_Cls3),86,payback(C25,T25,disc_rate/12,85))</f>
        <v>86</v>
      </c>
      <c r="Z25" s="298">
        <f ca="1">IF(AND(Z$22=TRUE,INDEX(CDRANGE_CLS3,MATCH($A25,$A$24:$A$67,0),MATCH(Z$20,$B$20:$G$20,0))&lt;$D$6/OPDAYS_Cls3),86,payback(D25,U25,disc_rate/12,85))</f>
        <v>86</v>
      </c>
      <c r="AA25" s="298">
        <f ca="1">IF(AND(AA$22=TRUE,INDEX(CDRANGE_CLS3,MATCH($A25,$A$24:$A$67,0),MATCH(AA$20,$B$20:$G$20,0))&lt;$D$6/OPDAYS_Cls3),86,payback(E25,V25,disc_rate/12,85))</f>
        <v>86</v>
      </c>
      <c r="AB25" s="298">
        <f ca="1">IF(AND(AB$22=TRUE,INDEX(CDRANGE_CLS3,MATCH($A25,$A$24:$A$67,0),MATCH(AB$20,$B$20:$G$20,0))&lt;$D$6/OPDAYS_Cls3),86,payback(F25,W25,disc_rate/12,85))</f>
        <v>86</v>
      </c>
      <c r="AC25" s="299">
        <f>IF(AND(AC$22=TRUE,INDEX(CDRANGE_CLS3,MATCH($A25,$A$24:$A$67,0),MATCH(AC$20,$B$20:$G$20,0))&lt;$D$6/OPDAYS_Cls3),86,payback(G25,X25,disc_rate/12,85))</f>
        <v>86</v>
      </c>
      <c r="AD25" s="314">
        <f t="shared" si="43"/>
        <v>0</v>
      </c>
      <c r="AE25" s="315">
        <f t="shared" si="44"/>
        <v>0</v>
      </c>
      <c r="AF25" s="315">
        <f t="shared" si="45"/>
        <v>0</v>
      </c>
      <c r="AG25" s="315">
        <f t="shared" si="46"/>
        <v>0</v>
      </c>
      <c r="AH25" s="697">
        <f t="shared" si="47"/>
        <v>0</v>
      </c>
      <c r="AI25" s="317">
        <f t="shared" si="48"/>
        <v>0</v>
      </c>
      <c r="AJ25" s="318">
        <f t="shared" si="49"/>
        <v>0</v>
      </c>
      <c r="AK25" s="318">
        <f t="shared" si="50"/>
        <v>0</v>
      </c>
      <c r="AL25" s="318">
        <f t="shared" si="51"/>
        <v>0</v>
      </c>
      <c r="AM25" s="319">
        <f t="shared" si="52"/>
        <v>0</v>
      </c>
      <c r="AN25" s="317">
        <f t="shared" ref="AN25:AR67" si="65">IF(C25&lt;0,1,$AQ$17*(1-WEIBULL(C25/$B25,$AO$17,$AO$18,1)))</f>
        <v>0</v>
      </c>
      <c r="AO25" s="318">
        <f t="shared" si="53"/>
        <v>0</v>
      </c>
      <c r="AP25" s="318">
        <f t="shared" si="53"/>
        <v>0</v>
      </c>
      <c r="AQ25" s="318">
        <f t="shared" si="53"/>
        <v>0</v>
      </c>
      <c r="AR25" s="319">
        <f t="shared" si="53"/>
        <v>0</v>
      </c>
      <c r="AS25" s="314">
        <f t="shared" ca="1" si="54"/>
        <v>0</v>
      </c>
      <c r="AT25" s="315">
        <f t="shared" ca="1" si="55"/>
        <v>0</v>
      </c>
      <c r="AU25" s="315">
        <f t="shared" ca="1" si="56"/>
        <v>0</v>
      </c>
      <c r="AV25" s="315">
        <f t="shared" ca="1" si="57"/>
        <v>0</v>
      </c>
      <c r="AW25" s="316">
        <f t="shared" si="58"/>
        <v>0</v>
      </c>
      <c r="AX25" s="861">
        <f t="shared" ca="1" si="59"/>
        <v>0</v>
      </c>
      <c r="AY25" s="315">
        <f t="shared" ca="1" si="59"/>
        <v>0</v>
      </c>
      <c r="AZ25" s="315">
        <f t="shared" ca="1" si="59"/>
        <v>0</v>
      </c>
      <c r="BA25" s="315">
        <f t="shared" ca="1" si="59"/>
        <v>0</v>
      </c>
      <c r="BB25" s="697">
        <f t="shared" si="59"/>
        <v>0</v>
      </c>
      <c r="BC25" s="314">
        <f t="shared" ref="BC25:BC67" ca="1" si="66">1-SUM(BD25:BH25)</f>
        <v>1</v>
      </c>
      <c r="BD25" s="315">
        <f t="shared" ca="1" si="60"/>
        <v>0</v>
      </c>
      <c r="BE25" s="315">
        <f t="shared" ca="1" si="61"/>
        <v>0</v>
      </c>
      <c r="BF25" s="315">
        <f t="shared" ca="1" si="62"/>
        <v>0</v>
      </c>
      <c r="BG25" s="315">
        <f t="shared" ca="1" si="63"/>
        <v>0</v>
      </c>
      <c r="BH25" s="316">
        <f t="shared" ca="1" si="64"/>
        <v>0</v>
      </c>
    </row>
    <row r="26" spans="1:60" x14ac:dyDescent="0.2">
      <c r="A26" s="306">
        <v>2009</v>
      </c>
      <c r="B26" s="916">
        <f t="shared" si="30"/>
        <v>96771.81</v>
      </c>
      <c r="C26" s="917">
        <f t="shared" si="30"/>
        <v>1000000</v>
      </c>
      <c r="D26" s="917">
        <f t="shared" si="30"/>
        <v>1000000</v>
      </c>
      <c r="E26" s="917">
        <f t="shared" si="30"/>
        <v>1000000</v>
      </c>
      <c r="F26" s="917">
        <f t="shared" si="30"/>
        <v>1000000</v>
      </c>
      <c r="G26" s="918">
        <f t="shared" si="30"/>
        <v>1000000</v>
      </c>
      <c r="H26" s="886">
        <f t="shared" si="31"/>
        <v>1</v>
      </c>
      <c r="I26" s="887">
        <f t="shared" si="31"/>
        <v>1</v>
      </c>
      <c r="J26" s="887">
        <f t="shared" si="31"/>
        <v>1</v>
      </c>
      <c r="K26" s="887">
        <f t="shared" si="31"/>
        <v>1</v>
      </c>
      <c r="L26" s="887">
        <f t="shared" si="31"/>
        <v>1</v>
      </c>
      <c r="M26" s="888">
        <f t="shared" si="31"/>
        <v>1</v>
      </c>
      <c r="N26" s="833">
        <f t="shared" si="32"/>
        <v>8581.3248730741125</v>
      </c>
      <c r="O26" s="294">
        <f t="shared" si="33"/>
        <v>50323.136600625003</v>
      </c>
      <c r="P26" s="294">
        <f t="shared" si="34"/>
        <v>50323.136600625003</v>
      </c>
      <c r="Q26" s="294">
        <f t="shared" si="35"/>
        <v>50323.136600625003</v>
      </c>
      <c r="R26" s="294">
        <f t="shared" si="36"/>
        <v>50323.136600625003</v>
      </c>
      <c r="S26" s="296">
        <f t="shared" si="37"/>
        <v>161994.03391500001</v>
      </c>
      <c r="T26" s="307">
        <f t="shared" si="38"/>
        <v>-41741.811727550892</v>
      </c>
      <c r="U26" s="308">
        <f t="shared" si="39"/>
        <v>-41741.811727550892</v>
      </c>
      <c r="V26" s="308">
        <f t="shared" si="40"/>
        <v>-41741.811727550892</v>
      </c>
      <c r="W26" s="308">
        <f t="shared" si="41"/>
        <v>-41741.811727550892</v>
      </c>
      <c r="X26" s="310">
        <f t="shared" si="42"/>
        <v>-153412.7090419259</v>
      </c>
      <c r="Y26" s="297">
        <f ca="1">IF(AND(Y$22=TRUE,INDEX(CDRANGE_CLS3,MATCH($A26,$A$24:$A$67,0),MATCH(Y$20,$B$20:$G$20,0))&lt;$D$6/OPDAYS_Cls3),86,payback(C26,T26,disc_rate/12,85))</f>
        <v>86</v>
      </c>
      <c r="Z26" s="298">
        <f ca="1">IF(AND(Z$22=TRUE,INDEX(CDRANGE_CLS3,MATCH($A26,$A$24:$A$67,0),MATCH(Z$20,$B$20:$G$20,0))&lt;$D$6/OPDAYS_Cls3),86,payback(D26,U26,disc_rate/12,85))</f>
        <v>86</v>
      </c>
      <c r="AA26" s="298">
        <f ca="1">IF(AND(AA$22=TRUE,INDEX(CDRANGE_CLS3,MATCH($A26,$A$24:$A$67,0),MATCH(AA$20,$B$20:$G$20,0))&lt;$D$6/OPDAYS_Cls3),86,payback(E26,V26,disc_rate/12,85))</f>
        <v>86</v>
      </c>
      <c r="AB26" s="298">
        <f ca="1">IF(AND(AB$22=TRUE,INDEX(CDRANGE_CLS3,MATCH($A26,$A$24:$A$67,0),MATCH(AB$20,$B$20:$G$20,0))&lt;$D$6/OPDAYS_Cls3),86,payback(F26,W26,disc_rate/12,85))</f>
        <v>86</v>
      </c>
      <c r="AC26" s="299">
        <f>IF(AND(AC$22=TRUE,INDEX(CDRANGE_CLS3,MATCH($A26,$A$24:$A$67,0),MATCH(AC$20,$B$20:$G$20,0))&lt;$D$6/OPDAYS_Cls3),86,payback(G26,X26,disc_rate/12,85))</f>
        <v>86</v>
      </c>
      <c r="AD26" s="314">
        <f t="shared" si="43"/>
        <v>0</v>
      </c>
      <c r="AE26" s="315">
        <f t="shared" si="44"/>
        <v>0</v>
      </c>
      <c r="AF26" s="315">
        <f t="shared" si="45"/>
        <v>0</v>
      </c>
      <c r="AG26" s="315">
        <f t="shared" si="46"/>
        <v>0</v>
      </c>
      <c r="AH26" s="697">
        <f t="shared" si="47"/>
        <v>0</v>
      </c>
      <c r="AI26" s="317">
        <f t="shared" si="48"/>
        <v>0</v>
      </c>
      <c r="AJ26" s="318">
        <f t="shared" si="49"/>
        <v>0</v>
      </c>
      <c r="AK26" s="318">
        <f t="shared" si="50"/>
        <v>0</v>
      </c>
      <c r="AL26" s="318">
        <f t="shared" si="51"/>
        <v>0</v>
      </c>
      <c r="AM26" s="319">
        <f t="shared" si="52"/>
        <v>0</v>
      </c>
      <c r="AN26" s="317">
        <f t="shared" si="65"/>
        <v>0</v>
      </c>
      <c r="AO26" s="318">
        <f t="shared" si="53"/>
        <v>0</v>
      </c>
      <c r="AP26" s="318">
        <f t="shared" si="53"/>
        <v>0</v>
      </c>
      <c r="AQ26" s="318">
        <f t="shared" si="53"/>
        <v>0</v>
      </c>
      <c r="AR26" s="319">
        <f t="shared" si="53"/>
        <v>0</v>
      </c>
      <c r="AS26" s="314">
        <f t="shared" ca="1" si="54"/>
        <v>0</v>
      </c>
      <c r="AT26" s="315">
        <f t="shared" ca="1" si="55"/>
        <v>0</v>
      </c>
      <c r="AU26" s="315">
        <f t="shared" ca="1" si="56"/>
        <v>0</v>
      </c>
      <c r="AV26" s="315">
        <f t="shared" ca="1" si="57"/>
        <v>0</v>
      </c>
      <c r="AW26" s="316">
        <f t="shared" si="58"/>
        <v>0</v>
      </c>
      <c r="AX26" s="861">
        <f t="shared" ca="1" si="59"/>
        <v>0</v>
      </c>
      <c r="AY26" s="315">
        <f t="shared" ca="1" si="59"/>
        <v>0</v>
      </c>
      <c r="AZ26" s="315">
        <f t="shared" ca="1" si="59"/>
        <v>0</v>
      </c>
      <c r="BA26" s="315">
        <f t="shared" ca="1" si="59"/>
        <v>0</v>
      </c>
      <c r="BB26" s="697">
        <f t="shared" si="59"/>
        <v>0</v>
      </c>
      <c r="BC26" s="314">
        <f t="shared" ca="1" si="66"/>
        <v>1</v>
      </c>
      <c r="BD26" s="315">
        <f t="shared" ca="1" si="60"/>
        <v>0</v>
      </c>
      <c r="BE26" s="315">
        <f t="shared" ca="1" si="61"/>
        <v>0</v>
      </c>
      <c r="BF26" s="315">
        <f t="shared" ca="1" si="62"/>
        <v>0</v>
      </c>
      <c r="BG26" s="315">
        <f t="shared" ca="1" si="63"/>
        <v>0</v>
      </c>
      <c r="BH26" s="316">
        <f t="shared" ca="1" si="64"/>
        <v>0</v>
      </c>
    </row>
    <row r="27" spans="1:60" ht="13.5" thickBot="1" x14ac:dyDescent="0.25">
      <c r="A27" s="718">
        <v>2010</v>
      </c>
      <c r="B27" s="919">
        <f t="shared" si="30"/>
        <v>96771.81</v>
      </c>
      <c r="C27" s="920">
        <f t="shared" si="30"/>
        <v>1000000</v>
      </c>
      <c r="D27" s="920">
        <f t="shared" si="30"/>
        <v>1000000</v>
      </c>
      <c r="E27" s="920">
        <f t="shared" si="30"/>
        <v>1000000</v>
      </c>
      <c r="F27" s="920">
        <f t="shared" si="30"/>
        <v>1000000</v>
      </c>
      <c r="G27" s="921">
        <f t="shared" si="30"/>
        <v>1000000</v>
      </c>
      <c r="H27" s="886">
        <f t="shared" si="31"/>
        <v>1</v>
      </c>
      <c r="I27" s="887">
        <f t="shared" si="31"/>
        <v>1</v>
      </c>
      <c r="J27" s="887">
        <f t="shared" si="31"/>
        <v>1</v>
      </c>
      <c r="K27" s="887">
        <f t="shared" si="31"/>
        <v>1</v>
      </c>
      <c r="L27" s="887">
        <f t="shared" si="31"/>
        <v>1</v>
      </c>
      <c r="M27" s="888">
        <f t="shared" si="31"/>
        <v>1</v>
      </c>
      <c r="N27" s="988">
        <f t="shared" si="32"/>
        <v>10287.619220031847</v>
      </c>
      <c r="O27" s="881">
        <f t="shared" si="33"/>
        <v>60329.293548749993</v>
      </c>
      <c r="P27" s="881">
        <f t="shared" si="34"/>
        <v>60329.293548749993</v>
      </c>
      <c r="Q27" s="881">
        <f t="shared" si="35"/>
        <v>60329.293548749993</v>
      </c>
      <c r="R27" s="881">
        <f t="shared" si="36"/>
        <v>60329.293548749993</v>
      </c>
      <c r="S27" s="882">
        <f t="shared" si="37"/>
        <v>116500.398373125</v>
      </c>
      <c r="T27" s="321">
        <f t="shared" si="38"/>
        <v>-50041.674328718145</v>
      </c>
      <c r="U27" s="322">
        <f t="shared" si="39"/>
        <v>-50041.674328718145</v>
      </c>
      <c r="V27" s="322">
        <f t="shared" si="40"/>
        <v>-50041.674328718145</v>
      </c>
      <c r="W27" s="322">
        <f t="shared" si="41"/>
        <v>-50041.674328718145</v>
      </c>
      <c r="X27" s="324">
        <f t="shared" si="42"/>
        <v>-106212.77915309316</v>
      </c>
      <c r="Y27" s="823">
        <f ca="1">IF(AND(Y$22=TRUE,INDEX(CDRANGE_CLS3,MATCH($A27,$A$24:$A$67,0),MATCH(Y$20,$B$20:$G$20,0))&lt;$D$6/OPDAYS_Cls3),86,payback(C27,T27,disc_rate/12,85))</f>
        <v>86</v>
      </c>
      <c r="Z27" s="824">
        <f ca="1">IF(AND(Z$22=TRUE,INDEX(CDRANGE_CLS3,MATCH($A27,$A$24:$A$67,0),MATCH(Z$20,$B$20:$G$20,0))&lt;$D$6/OPDAYS_Cls3),86,payback(D27,U27,disc_rate/12,85))</f>
        <v>86</v>
      </c>
      <c r="AA27" s="824">
        <f ca="1">IF(AND(AA$22=TRUE,INDEX(CDRANGE_CLS3,MATCH($A27,$A$24:$A$67,0),MATCH(AA$20,$B$20:$G$20,0))&lt;$D$6/OPDAYS_Cls3),86,payback(E27,V27,disc_rate/12,85))</f>
        <v>86</v>
      </c>
      <c r="AB27" s="824">
        <f ca="1">IF(AND(AB$22=TRUE,INDEX(CDRANGE_CLS3,MATCH($A27,$A$24:$A$67,0),MATCH(AB$20,$B$20:$G$20,0))&lt;$D$6/OPDAYS_Cls3),86,payback(F27,W27,disc_rate/12,85))</f>
        <v>86</v>
      </c>
      <c r="AC27" s="997">
        <f>IF(AND(AC$22=TRUE,INDEX(CDRANGE_CLS3,MATCH($A27,$A$24:$A$67,0),MATCH(AC$20,$B$20:$G$20,0))&lt;$D$6/OPDAYS_Cls3),86,payback(G27,X27,disc_rate/12,85))</f>
        <v>86</v>
      </c>
      <c r="AD27" s="328">
        <f t="shared" si="43"/>
        <v>0</v>
      </c>
      <c r="AE27" s="329">
        <f t="shared" si="44"/>
        <v>0</v>
      </c>
      <c r="AF27" s="329">
        <f t="shared" si="45"/>
        <v>0</v>
      </c>
      <c r="AG27" s="329">
        <f t="shared" si="46"/>
        <v>0</v>
      </c>
      <c r="AH27" s="863">
        <f t="shared" si="47"/>
        <v>0</v>
      </c>
      <c r="AI27" s="331">
        <f t="shared" si="48"/>
        <v>0</v>
      </c>
      <c r="AJ27" s="332">
        <f t="shared" si="49"/>
        <v>0</v>
      </c>
      <c r="AK27" s="332">
        <f t="shared" si="50"/>
        <v>0</v>
      </c>
      <c r="AL27" s="332">
        <f t="shared" si="51"/>
        <v>0</v>
      </c>
      <c r="AM27" s="333">
        <f t="shared" si="52"/>
        <v>0</v>
      </c>
      <c r="AN27" s="331">
        <f t="shared" si="65"/>
        <v>0</v>
      </c>
      <c r="AO27" s="332">
        <f t="shared" si="53"/>
        <v>0</v>
      </c>
      <c r="AP27" s="332">
        <f t="shared" si="53"/>
        <v>0</v>
      </c>
      <c r="AQ27" s="332">
        <f t="shared" si="53"/>
        <v>0</v>
      </c>
      <c r="AR27" s="333">
        <f t="shared" si="53"/>
        <v>0</v>
      </c>
      <c r="AS27" s="328">
        <f t="shared" ca="1" si="54"/>
        <v>0</v>
      </c>
      <c r="AT27" s="329">
        <f t="shared" ca="1" si="55"/>
        <v>0</v>
      </c>
      <c r="AU27" s="329">
        <f t="shared" ca="1" si="56"/>
        <v>0</v>
      </c>
      <c r="AV27" s="329">
        <f t="shared" ca="1" si="57"/>
        <v>0</v>
      </c>
      <c r="AW27" s="330">
        <f t="shared" si="58"/>
        <v>0</v>
      </c>
      <c r="AX27" s="862">
        <f t="shared" ca="1" si="59"/>
        <v>0</v>
      </c>
      <c r="AY27" s="725">
        <f t="shared" ca="1" si="59"/>
        <v>0</v>
      </c>
      <c r="AZ27" s="725">
        <f t="shared" ca="1" si="59"/>
        <v>0</v>
      </c>
      <c r="BA27" s="725">
        <f t="shared" ca="1" si="59"/>
        <v>0</v>
      </c>
      <c r="BB27" s="745">
        <f t="shared" si="59"/>
        <v>0</v>
      </c>
      <c r="BC27" s="328">
        <f t="shared" ca="1" si="66"/>
        <v>1</v>
      </c>
      <c r="BD27" s="329">
        <f t="shared" ca="1" si="60"/>
        <v>0</v>
      </c>
      <c r="BE27" s="329">
        <f t="shared" ca="1" si="61"/>
        <v>0</v>
      </c>
      <c r="BF27" s="329">
        <f t="shared" ca="1" si="62"/>
        <v>0</v>
      </c>
      <c r="BG27" s="329">
        <f t="shared" ca="1" si="63"/>
        <v>0</v>
      </c>
      <c r="BH27" s="330">
        <f t="shared" ca="1" si="64"/>
        <v>0</v>
      </c>
    </row>
    <row r="28" spans="1:60" x14ac:dyDescent="0.2">
      <c r="A28" s="336">
        <v>2011</v>
      </c>
      <c r="B28" s="922">
        <f t="shared" si="30"/>
        <v>96771.81</v>
      </c>
      <c r="C28" s="923">
        <f t="shared" si="30"/>
        <v>1000000</v>
      </c>
      <c r="D28" s="923">
        <f t="shared" si="30"/>
        <v>1000000</v>
      </c>
      <c r="E28" s="923">
        <f t="shared" si="30"/>
        <v>1000000</v>
      </c>
      <c r="F28" s="923">
        <f t="shared" si="30"/>
        <v>1000000</v>
      </c>
      <c r="G28" s="924">
        <f t="shared" si="30"/>
        <v>1000000</v>
      </c>
      <c r="H28" s="886">
        <f t="shared" si="31"/>
        <v>1</v>
      </c>
      <c r="I28" s="887">
        <f t="shared" si="31"/>
        <v>1</v>
      </c>
      <c r="J28" s="887">
        <f t="shared" si="31"/>
        <v>1</v>
      </c>
      <c r="K28" s="887">
        <f t="shared" si="31"/>
        <v>1</v>
      </c>
      <c r="L28" s="887">
        <f t="shared" si="31"/>
        <v>1</v>
      </c>
      <c r="M28" s="888">
        <f t="shared" si="31"/>
        <v>1</v>
      </c>
      <c r="N28" s="836">
        <f t="shared" si="32"/>
        <v>12786.418658420327</v>
      </c>
      <c r="O28" s="732">
        <f t="shared" si="33"/>
        <v>75877.769864999995</v>
      </c>
      <c r="P28" s="732">
        <f t="shared" si="34"/>
        <v>75877.769864999995</v>
      </c>
      <c r="Q28" s="732">
        <f t="shared" si="35"/>
        <v>75877.769864999995</v>
      </c>
      <c r="R28" s="732">
        <f t="shared" si="36"/>
        <v>75877.769864999995</v>
      </c>
      <c r="S28" s="846">
        <f t="shared" si="37"/>
        <v>92033.102025000015</v>
      </c>
      <c r="T28" s="836">
        <f t="shared" si="38"/>
        <v>-63091.351206579668</v>
      </c>
      <c r="U28" s="732">
        <f t="shared" si="39"/>
        <v>-63091.351206579668</v>
      </c>
      <c r="V28" s="732">
        <f t="shared" si="40"/>
        <v>-63091.351206579668</v>
      </c>
      <c r="W28" s="732">
        <f t="shared" si="41"/>
        <v>-63091.351206579668</v>
      </c>
      <c r="X28" s="733">
        <f t="shared" si="42"/>
        <v>-79246.683366579688</v>
      </c>
      <c r="Y28" s="734">
        <f ca="1">IF(AND(Y$22=TRUE,INDEX(CDRANGE_CLS3,MATCH($A28,$A$24:$A$67,0),MATCH(Y$20,$B$20:$G$20,0))&lt;$D$6/OPDAYS_Cls3),86,payback(C28,T28,disc_rate/12,85))</f>
        <v>86</v>
      </c>
      <c r="Z28" s="735">
        <f ca="1">IF(AND(Z$22=TRUE,INDEX(CDRANGE_CLS3,MATCH($A28,$A$24:$A$67,0),MATCH(Z$20,$B$20:$G$20,0))&lt;$D$6/OPDAYS_Cls3),86,payback(D28,U28,disc_rate/12,85))</f>
        <v>86</v>
      </c>
      <c r="AA28" s="735">
        <f ca="1">IF(AND(AA$22=TRUE,INDEX(CDRANGE_CLS3,MATCH($A28,$A$24:$A$67,0),MATCH(AA$20,$B$20:$G$20,0))&lt;$D$6/OPDAYS_Cls3),86,payback(E28,V28,disc_rate/12,85))</f>
        <v>86</v>
      </c>
      <c r="AB28" s="735">
        <f ca="1">IF(AND(AB$22=TRUE,INDEX(CDRANGE_CLS3,MATCH($A28,$A$24:$A$67,0),MATCH(AB$20,$B$20:$G$20,0))&lt;$D$6/OPDAYS_Cls3),86,payback(F28,W28,disc_rate/12,85))</f>
        <v>86</v>
      </c>
      <c r="AC28" s="998">
        <f>IF(AND(AC$22=TRUE,INDEX(CDRANGE_CLS3,MATCH($A28,$A$24:$A$67,0),MATCH(AC$20,$B$20:$G$20,0))&lt;$D$6/OPDAYS_Cls3),86,payback(G28,X28,disc_rate/12,85))</f>
        <v>86</v>
      </c>
      <c r="AD28" s="737">
        <f t="shared" si="43"/>
        <v>0</v>
      </c>
      <c r="AE28" s="738">
        <f t="shared" si="44"/>
        <v>0</v>
      </c>
      <c r="AF28" s="738">
        <f t="shared" si="45"/>
        <v>0</v>
      </c>
      <c r="AG28" s="738">
        <f t="shared" si="46"/>
        <v>0</v>
      </c>
      <c r="AH28" s="739">
        <f t="shared" si="47"/>
        <v>0</v>
      </c>
      <c r="AI28" s="740">
        <f t="shared" si="48"/>
        <v>0</v>
      </c>
      <c r="AJ28" s="741">
        <f t="shared" si="49"/>
        <v>0</v>
      </c>
      <c r="AK28" s="741">
        <f t="shared" si="50"/>
        <v>0</v>
      </c>
      <c r="AL28" s="741">
        <f t="shared" si="51"/>
        <v>0</v>
      </c>
      <c r="AM28" s="742">
        <f t="shared" si="52"/>
        <v>0</v>
      </c>
      <c r="AN28" s="743">
        <f t="shared" si="65"/>
        <v>0</v>
      </c>
      <c r="AO28" s="741">
        <f t="shared" si="53"/>
        <v>0</v>
      </c>
      <c r="AP28" s="741">
        <f t="shared" si="53"/>
        <v>0</v>
      </c>
      <c r="AQ28" s="741">
        <f t="shared" si="53"/>
        <v>0</v>
      </c>
      <c r="AR28" s="742">
        <f t="shared" si="53"/>
        <v>0</v>
      </c>
      <c r="AS28" s="737">
        <f t="shared" ca="1" si="54"/>
        <v>0</v>
      </c>
      <c r="AT28" s="738">
        <f t="shared" ca="1" si="55"/>
        <v>0</v>
      </c>
      <c r="AU28" s="738">
        <f t="shared" ca="1" si="56"/>
        <v>0</v>
      </c>
      <c r="AV28" s="738">
        <f t="shared" ca="1" si="57"/>
        <v>0</v>
      </c>
      <c r="AW28" s="739">
        <f t="shared" si="58"/>
        <v>0</v>
      </c>
      <c r="AX28" s="737">
        <f t="shared" ca="1" si="59"/>
        <v>0</v>
      </c>
      <c r="AY28" s="738">
        <f t="shared" ca="1" si="59"/>
        <v>0</v>
      </c>
      <c r="AZ28" s="738">
        <f t="shared" ca="1" si="59"/>
        <v>0</v>
      </c>
      <c r="BA28" s="738">
        <f t="shared" ca="1" si="59"/>
        <v>0</v>
      </c>
      <c r="BB28" s="739">
        <f t="shared" si="59"/>
        <v>0</v>
      </c>
      <c r="BC28" s="737">
        <f t="shared" ca="1" si="66"/>
        <v>1</v>
      </c>
      <c r="BD28" s="738">
        <f t="shared" ca="1" si="60"/>
        <v>0</v>
      </c>
      <c r="BE28" s="738">
        <f t="shared" ca="1" si="61"/>
        <v>0</v>
      </c>
      <c r="BF28" s="738">
        <f t="shared" ca="1" si="62"/>
        <v>0</v>
      </c>
      <c r="BG28" s="738">
        <f t="shared" ca="1" si="63"/>
        <v>0</v>
      </c>
      <c r="BH28" s="739">
        <f t="shared" ca="1" si="64"/>
        <v>0</v>
      </c>
    </row>
    <row r="29" spans="1:60" x14ac:dyDescent="0.2">
      <c r="A29" s="335">
        <v>2012</v>
      </c>
      <c r="B29" s="925">
        <f t="shared" si="30"/>
        <v>96771.81</v>
      </c>
      <c r="C29" s="926">
        <f t="shared" si="30"/>
        <v>1000000</v>
      </c>
      <c r="D29" s="926">
        <f t="shared" si="30"/>
        <v>1000000</v>
      </c>
      <c r="E29" s="926">
        <f t="shared" si="30"/>
        <v>1000000</v>
      </c>
      <c r="F29" s="926">
        <f t="shared" si="30"/>
        <v>1000000</v>
      </c>
      <c r="G29" s="927">
        <f t="shared" si="30"/>
        <v>1000000</v>
      </c>
      <c r="H29" s="886">
        <f t="shared" si="31"/>
        <v>1</v>
      </c>
      <c r="I29" s="887">
        <f t="shared" si="31"/>
        <v>1</v>
      </c>
      <c r="J29" s="887">
        <f t="shared" si="31"/>
        <v>1</v>
      </c>
      <c r="K29" s="887">
        <f t="shared" si="31"/>
        <v>1</v>
      </c>
      <c r="L29" s="887">
        <f t="shared" si="31"/>
        <v>1</v>
      </c>
      <c r="M29" s="888">
        <f t="shared" si="31"/>
        <v>1</v>
      </c>
      <c r="N29" s="833">
        <f t="shared" si="32"/>
        <v>12905.239454396222</v>
      </c>
      <c r="O29" s="294">
        <f t="shared" si="33"/>
        <v>77015.460082499994</v>
      </c>
      <c r="P29" s="294">
        <f t="shared" si="34"/>
        <v>77015.460082499994</v>
      </c>
      <c r="Q29" s="294">
        <f t="shared" si="35"/>
        <v>77015.460082499994</v>
      </c>
      <c r="R29" s="294">
        <f t="shared" si="36"/>
        <v>77015.460082499994</v>
      </c>
      <c r="S29" s="296">
        <f t="shared" si="37"/>
        <v>78666.019556249987</v>
      </c>
      <c r="T29" s="834">
        <f t="shared" si="38"/>
        <v>-64110.220628103772</v>
      </c>
      <c r="U29" s="308">
        <f t="shared" si="39"/>
        <v>-64110.220628103772</v>
      </c>
      <c r="V29" s="308">
        <f t="shared" si="40"/>
        <v>-64110.220628103772</v>
      </c>
      <c r="W29" s="308">
        <f t="shared" si="41"/>
        <v>-64110.220628103772</v>
      </c>
      <c r="X29" s="309">
        <f t="shared" si="42"/>
        <v>-65760.780101853772</v>
      </c>
      <c r="Y29" s="297">
        <f ca="1">IF(AND(Y$22=TRUE,INDEX(CDRANGE_CLS3,MATCH($A29,$A$24:$A$67,0),MATCH(Y$20,$B$20:$G$20,0))&lt;$D$6/OPDAYS_Cls3),86,payback(C29,T29,disc_rate/12,85))</f>
        <v>86</v>
      </c>
      <c r="Z29" s="298">
        <f ca="1">IF(AND(Z$22=TRUE,INDEX(CDRANGE_CLS3,MATCH($A29,$A$24:$A$67,0),MATCH(Z$20,$B$20:$G$20,0))&lt;$D$6/OPDAYS_Cls3),86,payback(D29,U29,disc_rate/12,85))</f>
        <v>86</v>
      </c>
      <c r="AA29" s="298">
        <f ca="1">IF(AND(AA$22=TRUE,INDEX(CDRANGE_CLS3,MATCH($A29,$A$24:$A$67,0),MATCH(AA$20,$B$20:$G$20,0))&lt;$D$6/OPDAYS_Cls3),86,payback(E29,V29,disc_rate/12,85))</f>
        <v>86</v>
      </c>
      <c r="AB29" s="298">
        <f ca="1">IF(AND(AB$22=TRUE,INDEX(CDRANGE_CLS3,MATCH($A29,$A$24:$A$67,0),MATCH(AB$20,$B$20:$G$20,0))&lt;$D$6/OPDAYS_Cls3),86,payback(F29,W29,disc_rate/12,85))</f>
        <v>86</v>
      </c>
      <c r="AC29" s="299">
        <f>IF(AND(AC$22=TRUE,INDEX(CDRANGE_CLS3,MATCH($A29,$A$24:$A$67,0),MATCH(AC$20,$B$20:$G$20,0))&lt;$D$6/OPDAYS_Cls3),86,payback(G29,X29,disc_rate/12,85))</f>
        <v>86</v>
      </c>
      <c r="AD29" s="314">
        <f t="shared" si="43"/>
        <v>0</v>
      </c>
      <c r="AE29" s="315">
        <f t="shared" si="44"/>
        <v>0</v>
      </c>
      <c r="AF29" s="315">
        <f t="shared" si="45"/>
        <v>0</v>
      </c>
      <c r="AG29" s="315">
        <f t="shared" si="46"/>
        <v>0</v>
      </c>
      <c r="AH29" s="316">
        <f t="shared" si="47"/>
        <v>0</v>
      </c>
      <c r="AI29" s="695">
        <f t="shared" si="48"/>
        <v>0</v>
      </c>
      <c r="AJ29" s="318">
        <f t="shared" si="49"/>
        <v>0</v>
      </c>
      <c r="AK29" s="318">
        <f t="shared" si="50"/>
        <v>0</v>
      </c>
      <c r="AL29" s="318">
        <f t="shared" si="51"/>
        <v>0</v>
      </c>
      <c r="AM29" s="698">
        <f t="shared" si="52"/>
        <v>0</v>
      </c>
      <c r="AN29" s="317">
        <f t="shared" si="65"/>
        <v>0</v>
      </c>
      <c r="AO29" s="318">
        <f t="shared" si="53"/>
        <v>0</v>
      </c>
      <c r="AP29" s="318">
        <f t="shared" si="53"/>
        <v>0</v>
      </c>
      <c r="AQ29" s="318">
        <f t="shared" si="53"/>
        <v>0</v>
      </c>
      <c r="AR29" s="698">
        <f t="shared" si="53"/>
        <v>0</v>
      </c>
      <c r="AS29" s="314">
        <f t="shared" ca="1" si="54"/>
        <v>0</v>
      </c>
      <c r="AT29" s="315">
        <f t="shared" ca="1" si="55"/>
        <v>0</v>
      </c>
      <c r="AU29" s="315">
        <f t="shared" ca="1" si="56"/>
        <v>0</v>
      </c>
      <c r="AV29" s="315">
        <f t="shared" ca="1" si="57"/>
        <v>0</v>
      </c>
      <c r="AW29" s="316">
        <f t="shared" si="58"/>
        <v>0</v>
      </c>
      <c r="AX29" s="314">
        <f t="shared" ca="1" si="59"/>
        <v>0</v>
      </c>
      <c r="AY29" s="315">
        <f t="shared" ca="1" si="59"/>
        <v>0</v>
      </c>
      <c r="AZ29" s="315">
        <f t="shared" ca="1" si="59"/>
        <v>0</v>
      </c>
      <c r="BA29" s="315">
        <f t="shared" ca="1" si="59"/>
        <v>0</v>
      </c>
      <c r="BB29" s="316">
        <f t="shared" si="59"/>
        <v>0</v>
      </c>
      <c r="BC29" s="314">
        <f t="shared" ca="1" si="66"/>
        <v>1</v>
      </c>
      <c r="BD29" s="315">
        <f t="shared" ca="1" si="60"/>
        <v>0</v>
      </c>
      <c r="BE29" s="315">
        <f t="shared" ca="1" si="61"/>
        <v>0</v>
      </c>
      <c r="BF29" s="315">
        <f t="shared" ca="1" si="62"/>
        <v>0</v>
      </c>
      <c r="BG29" s="315">
        <f t="shared" ca="1" si="63"/>
        <v>0</v>
      </c>
      <c r="BH29" s="316">
        <f t="shared" ca="1" si="64"/>
        <v>0</v>
      </c>
    </row>
    <row r="30" spans="1:60" x14ac:dyDescent="0.2">
      <c r="A30" s="335">
        <v>2013</v>
      </c>
      <c r="B30" s="925">
        <f t="shared" si="30"/>
        <v>96771.81</v>
      </c>
      <c r="C30" s="926">
        <f t="shared" si="30"/>
        <v>1000000</v>
      </c>
      <c r="D30" s="926">
        <f t="shared" si="30"/>
        <v>1000000</v>
      </c>
      <c r="E30" s="926">
        <f t="shared" si="30"/>
        <v>1000000</v>
      </c>
      <c r="F30" s="926">
        <f t="shared" si="30"/>
        <v>1000000</v>
      </c>
      <c r="G30" s="927">
        <f t="shared" si="30"/>
        <v>1000000</v>
      </c>
      <c r="H30" s="886">
        <f t="shared" si="31"/>
        <v>1</v>
      </c>
      <c r="I30" s="887">
        <f t="shared" si="31"/>
        <v>1</v>
      </c>
      <c r="J30" s="887">
        <f t="shared" si="31"/>
        <v>1</v>
      </c>
      <c r="K30" s="887">
        <f t="shared" si="31"/>
        <v>1</v>
      </c>
      <c r="L30" s="887">
        <f t="shared" si="31"/>
        <v>1</v>
      </c>
      <c r="M30" s="888">
        <f t="shared" si="31"/>
        <v>1</v>
      </c>
      <c r="N30" s="833">
        <f t="shared" si="32"/>
        <v>12543.070200625207</v>
      </c>
      <c r="O30" s="294">
        <f t="shared" si="33"/>
        <v>75478.006991250018</v>
      </c>
      <c r="P30" s="294">
        <f t="shared" si="34"/>
        <v>75478.006991250018</v>
      </c>
      <c r="Q30" s="294">
        <f t="shared" si="35"/>
        <v>75478.006991250018</v>
      </c>
      <c r="R30" s="294">
        <f t="shared" si="36"/>
        <v>75478.006991250018</v>
      </c>
      <c r="S30" s="296">
        <f t="shared" si="37"/>
        <v>80635.311629999997</v>
      </c>
      <c r="T30" s="834">
        <f t="shared" si="38"/>
        <v>-62934.936790624808</v>
      </c>
      <c r="U30" s="308">
        <f t="shared" si="39"/>
        <v>-62934.936790624808</v>
      </c>
      <c r="V30" s="308">
        <f t="shared" si="40"/>
        <v>-62934.936790624808</v>
      </c>
      <c r="W30" s="308">
        <f t="shared" si="41"/>
        <v>-62934.936790624808</v>
      </c>
      <c r="X30" s="309">
        <f t="shared" si="42"/>
        <v>-68092.241429374786</v>
      </c>
      <c r="Y30" s="297">
        <f ca="1">IF(AND(Y$22=TRUE,INDEX(CDRANGE_CLS3,MATCH($A30,$A$24:$A$67,0),MATCH(Y$20,$B$20:$G$20,0))&lt;$D$6/OPDAYS_Cls3),86,payback(C30,T30,disc_rate/12,85))</f>
        <v>86</v>
      </c>
      <c r="Z30" s="298">
        <f ca="1">IF(AND(Z$22=TRUE,INDEX(CDRANGE_CLS3,MATCH($A30,$A$24:$A$67,0),MATCH(Z$20,$B$20:$G$20,0))&lt;$D$6/OPDAYS_Cls3),86,payback(D30,U30,disc_rate/12,85))</f>
        <v>86</v>
      </c>
      <c r="AA30" s="298">
        <f ca="1">IF(AND(AA$22=TRUE,INDEX(CDRANGE_CLS3,MATCH($A30,$A$24:$A$67,0),MATCH(AA$20,$B$20:$G$20,0))&lt;$D$6/OPDAYS_Cls3),86,payback(E30,V30,disc_rate/12,85))</f>
        <v>86</v>
      </c>
      <c r="AB30" s="298">
        <f ca="1">IF(AND(AB$22=TRUE,INDEX(CDRANGE_CLS3,MATCH($A30,$A$24:$A$67,0),MATCH(AB$20,$B$20:$G$20,0))&lt;$D$6/OPDAYS_Cls3),86,payback(F30,W30,disc_rate/12,85))</f>
        <v>86</v>
      </c>
      <c r="AC30" s="299">
        <f>IF(AND(AC$22=TRUE,INDEX(CDRANGE_CLS3,MATCH($A30,$A$24:$A$67,0),MATCH(AC$20,$B$20:$G$20,0))&lt;$D$6/OPDAYS_Cls3),86,payback(G30,X30,disc_rate/12,85))</f>
        <v>86</v>
      </c>
      <c r="AD30" s="314">
        <f t="shared" si="43"/>
        <v>0</v>
      </c>
      <c r="AE30" s="315">
        <f t="shared" si="44"/>
        <v>0</v>
      </c>
      <c r="AF30" s="315">
        <f t="shared" si="45"/>
        <v>0</v>
      </c>
      <c r="AG30" s="315">
        <f t="shared" si="46"/>
        <v>0</v>
      </c>
      <c r="AH30" s="316">
        <f t="shared" si="47"/>
        <v>0</v>
      </c>
      <c r="AI30" s="695">
        <f t="shared" si="48"/>
        <v>0</v>
      </c>
      <c r="AJ30" s="318">
        <f t="shared" si="49"/>
        <v>0</v>
      </c>
      <c r="AK30" s="318">
        <f t="shared" si="50"/>
        <v>0</v>
      </c>
      <c r="AL30" s="318">
        <f t="shared" si="51"/>
        <v>0</v>
      </c>
      <c r="AM30" s="698">
        <f t="shared" si="52"/>
        <v>0</v>
      </c>
      <c r="AN30" s="317">
        <f t="shared" si="65"/>
        <v>0</v>
      </c>
      <c r="AO30" s="318">
        <f t="shared" si="53"/>
        <v>0</v>
      </c>
      <c r="AP30" s="318">
        <f t="shared" si="53"/>
        <v>0</v>
      </c>
      <c r="AQ30" s="318">
        <f t="shared" si="53"/>
        <v>0</v>
      </c>
      <c r="AR30" s="698">
        <f t="shared" si="53"/>
        <v>0</v>
      </c>
      <c r="AS30" s="314">
        <f t="shared" ca="1" si="54"/>
        <v>0</v>
      </c>
      <c r="AT30" s="315">
        <f t="shared" ca="1" si="55"/>
        <v>0</v>
      </c>
      <c r="AU30" s="315">
        <f t="shared" ca="1" si="56"/>
        <v>0</v>
      </c>
      <c r="AV30" s="315">
        <f t="shared" ca="1" si="57"/>
        <v>0</v>
      </c>
      <c r="AW30" s="316">
        <f t="shared" si="58"/>
        <v>0</v>
      </c>
      <c r="AX30" s="314">
        <f t="shared" ca="1" si="59"/>
        <v>0</v>
      </c>
      <c r="AY30" s="315">
        <f t="shared" ca="1" si="59"/>
        <v>0</v>
      </c>
      <c r="AZ30" s="315">
        <f t="shared" ca="1" si="59"/>
        <v>0</v>
      </c>
      <c r="BA30" s="315">
        <f t="shared" ca="1" si="59"/>
        <v>0</v>
      </c>
      <c r="BB30" s="316">
        <f t="shared" si="59"/>
        <v>0</v>
      </c>
      <c r="BC30" s="314">
        <f t="shared" ca="1" si="66"/>
        <v>1</v>
      </c>
      <c r="BD30" s="315">
        <f t="shared" ca="1" si="60"/>
        <v>0</v>
      </c>
      <c r="BE30" s="315">
        <f t="shared" ca="1" si="61"/>
        <v>0</v>
      </c>
      <c r="BF30" s="315">
        <f t="shared" ca="1" si="62"/>
        <v>0</v>
      </c>
      <c r="BG30" s="315">
        <f t="shared" ca="1" si="63"/>
        <v>0</v>
      </c>
      <c r="BH30" s="316">
        <f t="shared" ca="1" si="64"/>
        <v>0</v>
      </c>
    </row>
    <row r="31" spans="1:60" x14ac:dyDescent="0.2">
      <c r="A31" s="335">
        <v>2014</v>
      </c>
      <c r="B31" s="925">
        <f t="shared" si="30"/>
        <v>96771.81</v>
      </c>
      <c r="C31" s="926">
        <f t="shared" si="30"/>
        <v>1000000</v>
      </c>
      <c r="D31" s="926">
        <f t="shared" si="30"/>
        <v>1000000</v>
      </c>
      <c r="E31" s="926">
        <f t="shared" si="30"/>
        <v>1000000</v>
      </c>
      <c r="F31" s="926">
        <f t="shared" si="30"/>
        <v>1000000</v>
      </c>
      <c r="G31" s="927">
        <f t="shared" si="30"/>
        <v>1000000</v>
      </c>
      <c r="H31" s="886">
        <f t="shared" si="31"/>
        <v>1</v>
      </c>
      <c r="I31" s="887">
        <f t="shared" si="31"/>
        <v>1</v>
      </c>
      <c r="J31" s="887">
        <f t="shared" si="31"/>
        <v>1</v>
      </c>
      <c r="K31" s="887">
        <f t="shared" si="31"/>
        <v>1</v>
      </c>
      <c r="L31" s="887">
        <f t="shared" si="31"/>
        <v>1</v>
      </c>
      <c r="M31" s="888">
        <f t="shared" si="31"/>
        <v>1</v>
      </c>
      <c r="N31" s="833">
        <f t="shared" si="32"/>
        <v>11877.636844700744</v>
      </c>
      <c r="O31" s="294">
        <f t="shared" si="33"/>
        <v>72237.149726249991</v>
      </c>
      <c r="P31" s="294">
        <f t="shared" si="34"/>
        <v>72237.149726249991</v>
      </c>
      <c r="Q31" s="294">
        <f t="shared" si="35"/>
        <v>72237.149726249991</v>
      </c>
      <c r="R31" s="294">
        <f t="shared" si="36"/>
        <v>72237.149726249991</v>
      </c>
      <c r="S31" s="296">
        <f t="shared" si="37"/>
        <v>83691.059008125027</v>
      </c>
      <c r="T31" s="834">
        <f t="shared" si="38"/>
        <v>-60359.51288154925</v>
      </c>
      <c r="U31" s="308">
        <f t="shared" si="39"/>
        <v>-60359.51288154925</v>
      </c>
      <c r="V31" s="308">
        <f t="shared" si="40"/>
        <v>-60359.51288154925</v>
      </c>
      <c r="W31" s="308">
        <f t="shared" si="41"/>
        <v>-60359.51288154925</v>
      </c>
      <c r="X31" s="309">
        <f t="shared" si="42"/>
        <v>-71813.422163424286</v>
      </c>
      <c r="Y31" s="297">
        <f ca="1">IF(AND(Y$22=TRUE,INDEX(CDRANGE_CLS3,MATCH($A31,$A$24:$A$67,0),MATCH(Y$20,$B$20:$G$20,0))&lt;$D$6/OPDAYS_Cls3),86,payback(C31,T31,disc_rate/12,85))</f>
        <v>86</v>
      </c>
      <c r="Z31" s="298">
        <f ca="1">IF(AND(Z$22=TRUE,INDEX(CDRANGE_CLS3,MATCH($A31,$A$24:$A$67,0),MATCH(Z$20,$B$20:$G$20,0))&lt;$D$6/OPDAYS_Cls3),86,payback(D31,U31,disc_rate/12,85))</f>
        <v>86</v>
      </c>
      <c r="AA31" s="298">
        <f ca="1">IF(AND(AA$22=TRUE,INDEX(CDRANGE_CLS3,MATCH($A31,$A$24:$A$67,0),MATCH(AA$20,$B$20:$G$20,0))&lt;$D$6/OPDAYS_Cls3),86,payback(E31,V31,disc_rate/12,85))</f>
        <v>86</v>
      </c>
      <c r="AB31" s="298">
        <f ca="1">IF(AND(AB$22=TRUE,INDEX(CDRANGE_CLS3,MATCH($A31,$A$24:$A$67,0),MATCH(AB$20,$B$20:$G$20,0))&lt;$D$6/OPDAYS_Cls3),86,payback(F31,W31,disc_rate/12,85))</f>
        <v>86</v>
      </c>
      <c r="AC31" s="299">
        <f>IF(AND(AC$22=TRUE,INDEX(CDRANGE_CLS3,MATCH($A31,$A$24:$A$67,0),MATCH(AC$20,$B$20:$G$20,0))&lt;$D$6/OPDAYS_Cls3),86,payback(G31,X31,disc_rate/12,85))</f>
        <v>86</v>
      </c>
      <c r="AD31" s="314">
        <f t="shared" si="43"/>
        <v>0</v>
      </c>
      <c r="AE31" s="315">
        <f t="shared" si="44"/>
        <v>0</v>
      </c>
      <c r="AF31" s="315">
        <f t="shared" si="45"/>
        <v>0</v>
      </c>
      <c r="AG31" s="315">
        <f t="shared" si="46"/>
        <v>0</v>
      </c>
      <c r="AH31" s="316">
        <f t="shared" si="47"/>
        <v>0</v>
      </c>
      <c r="AI31" s="695">
        <f t="shared" si="48"/>
        <v>0</v>
      </c>
      <c r="AJ31" s="318">
        <f t="shared" si="49"/>
        <v>0</v>
      </c>
      <c r="AK31" s="318">
        <f t="shared" si="50"/>
        <v>0</v>
      </c>
      <c r="AL31" s="318">
        <f t="shared" si="51"/>
        <v>0</v>
      </c>
      <c r="AM31" s="698">
        <f t="shared" si="52"/>
        <v>0</v>
      </c>
      <c r="AN31" s="317">
        <f t="shared" si="65"/>
        <v>0</v>
      </c>
      <c r="AO31" s="318">
        <f t="shared" si="53"/>
        <v>0</v>
      </c>
      <c r="AP31" s="318">
        <f t="shared" si="53"/>
        <v>0</v>
      </c>
      <c r="AQ31" s="318">
        <f t="shared" si="53"/>
        <v>0</v>
      </c>
      <c r="AR31" s="698">
        <f t="shared" si="53"/>
        <v>0</v>
      </c>
      <c r="AS31" s="314">
        <f t="shared" ca="1" si="54"/>
        <v>0</v>
      </c>
      <c r="AT31" s="315">
        <f t="shared" ca="1" si="55"/>
        <v>0</v>
      </c>
      <c r="AU31" s="315">
        <f t="shared" ca="1" si="56"/>
        <v>0</v>
      </c>
      <c r="AV31" s="315">
        <f t="shared" ca="1" si="57"/>
        <v>0</v>
      </c>
      <c r="AW31" s="316">
        <f t="shared" si="58"/>
        <v>0</v>
      </c>
      <c r="AX31" s="314">
        <f t="shared" ca="1" si="59"/>
        <v>0</v>
      </c>
      <c r="AY31" s="315">
        <f t="shared" ca="1" si="59"/>
        <v>0</v>
      </c>
      <c r="AZ31" s="315">
        <f t="shared" ca="1" si="59"/>
        <v>0</v>
      </c>
      <c r="BA31" s="315">
        <f t="shared" ca="1" si="59"/>
        <v>0</v>
      </c>
      <c r="BB31" s="316">
        <f t="shared" si="59"/>
        <v>0</v>
      </c>
      <c r="BC31" s="314">
        <f t="shared" ca="1" si="66"/>
        <v>1</v>
      </c>
      <c r="BD31" s="315">
        <f t="shared" ca="1" si="60"/>
        <v>0</v>
      </c>
      <c r="BE31" s="315">
        <f t="shared" ca="1" si="61"/>
        <v>0</v>
      </c>
      <c r="BF31" s="315">
        <f t="shared" ca="1" si="62"/>
        <v>0</v>
      </c>
      <c r="BG31" s="315">
        <f t="shared" ca="1" si="63"/>
        <v>0</v>
      </c>
      <c r="BH31" s="316">
        <f t="shared" ca="1" si="64"/>
        <v>0</v>
      </c>
    </row>
    <row r="32" spans="1:60" ht="13.5" thickBot="1" x14ac:dyDescent="0.25">
      <c r="A32" s="320">
        <v>2015</v>
      </c>
      <c r="B32" s="928">
        <f t="shared" si="30"/>
        <v>96771.81</v>
      </c>
      <c r="C32" s="929">
        <f t="shared" si="30"/>
        <v>1000000</v>
      </c>
      <c r="D32" s="929">
        <f t="shared" si="30"/>
        <v>1000000</v>
      </c>
      <c r="E32" s="929">
        <f t="shared" si="30"/>
        <v>1000000</v>
      </c>
      <c r="F32" s="929">
        <f t="shared" si="30"/>
        <v>1000000</v>
      </c>
      <c r="G32" s="930">
        <f t="shared" si="30"/>
        <v>1000000</v>
      </c>
      <c r="H32" s="886">
        <f t="shared" si="31"/>
        <v>1</v>
      </c>
      <c r="I32" s="887">
        <f t="shared" si="31"/>
        <v>1</v>
      </c>
      <c r="J32" s="887">
        <f t="shared" si="31"/>
        <v>1</v>
      </c>
      <c r="K32" s="887">
        <f t="shared" si="31"/>
        <v>1</v>
      </c>
      <c r="L32" s="887">
        <f t="shared" si="31"/>
        <v>1</v>
      </c>
      <c r="M32" s="888">
        <f t="shared" si="31"/>
        <v>1</v>
      </c>
      <c r="N32" s="989">
        <f t="shared" si="32"/>
        <v>8349.7974537984137</v>
      </c>
      <c r="O32" s="884">
        <f t="shared" si="33"/>
        <v>51412.046895000007</v>
      </c>
      <c r="P32" s="884">
        <f t="shared" si="34"/>
        <v>51412.046895000007</v>
      </c>
      <c r="Q32" s="884">
        <f t="shared" si="35"/>
        <v>51412.046895000007</v>
      </c>
      <c r="R32" s="884">
        <f t="shared" si="36"/>
        <v>51412.046895000007</v>
      </c>
      <c r="S32" s="885">
        <f t="shared" si="37"/>
        <v>76680.694629374993</v>
      </c>
      <c r="T32" s="837">
        <f t="shared" si="38"/>
        <v>-43062.249441201595</v>
      </c>
      <c r="U32" s="322">
        <f t="shared" si="39"/>
        <v>-43062.249441201595</v>
      </c>
      <c r="V32" s="322">
        <f t="shared" si="40"/>
        <v>-43062.249441201595</v>
      </c>
      <c r="W32" s="322">
        <f t="shared" si="41"/>
        <v>-43062.249441201595</v>
      </c>
      <c r="X32" s="323">
        <f t="shared" si="42"/>
        <v>-68330.897175576582</v>
      </c>
      <c r="Y32" s="994">
        <f ca="1">IF(AND(Y$22=TRUE,INDEX(CDRANGE_CLS3,MATCH($A32,$A$24:$A$67,0),MATCH(Y$20,$B$20:$G$20,0))&lt;$D$6/OPDAYS_Cls3),86,payback(C32,T32,disc_rate/12,85))</f>
        <v>86</v>
      </c>
      <c r="Z32" s="995">
        <f ca="1">IF(AND(Z$22=TRUE,INDEX(CDRANGE_CLS3,MATCH($A32,$A$24:$A$67,0),MATCH(Z$20,$B$20:$G$20,0))&lt;$D$6/OPDAYS_Cls3),86,payback(D32,U32,disc_rate/12,85))</f>
        <v>86</v>
      </c>
      <c r="AA32" s="995">
        <f ca="1">IF(AND(AA$22=TRUE,INDEX(CDRANGE_CLS3,MATCH($A32,$A$24:$A$67,0),MATCH(AA$20,$B$20:$G$20,0))&lt;$D$6/OPDAYS_Cls3),86,payback(E32,V32,disc_rate/12,85))</f>
        <v>86</v>
      </c>
      <c r="AB32" s="995">
        <f ca="1">IF(AND(AB$22=TRUE,INDEX(CDRANGE_CLS3,MATCH($A32,$A$24:$A$67,0),MATCH(AB$20,$B$20:$G$20,0))&lt;$D$6/OPDAYS_Cls3),86,payback(F32,W32,disc_rate/12,85))</f>
        <v>86</v>
      </c>
      <c r="AC32" s="996">
        <f>IF(AND(AC$22=TRUE,INDEX(CDRANGE_CLS3,MATCH($A32,$A$24:$A$67,0),MATCH(AC$20,$B$20:$G$20,0))&lt;$D$6/OPDAYS_Cls3),86,payback(G32,X32,disc_rate/12,85))</f>
        <v>86</v>
      </c>
      <c r="AD32" s="328">
        <f t="shared" si="43"/>
        <v>0</v>
      </c>
      <c r="AE32" s="329">
        <f t="shared" si="44"/>
        <v>0</v>
      </c>
      <c r="AF32" s="329">
        <f t="shared" si="45"/>
        <v>0</v>
      </c>
      <c r="AG32" s="329">
        <f t="shared" si="46"/>
        <v>0</v>
      </c>
      <c r="AH32" s="330">
        <f t="shared" si="47"/>
        <v>0</v>
      </c>
      <c r="AI32" s="696">
        <f t="shared" si="48"/>
        <v>0</v>
      </c>
      <c r="AJ32" s="332">
        <f t="shared" si="49"/>
        <v>0</v>
      </c>
      <c r="AK32" s="332">
        <f t="shared" si="50"/>
        <v>0</v>
      </c>
      <c r="AL32" s="332">
        <f t="shared" si="51"/>
        <v>0</v>
      </c>
      <c r="AM32" s="699">
        <f t="shared" si="52"/>
        <v>0</v>
      </c>
      <c r="AN32" s="331">
        <f t="shared" si="65"/>
        <v>0</v>
      </c>
      <c r="AO32" s="332">
        <f t="shared" si="53"/>
        <v>0</v>
      </c>
      <c r="AP32" s="332">
        <f t="shared" si="53"/>
        <v>0</v>
      </c>
      <c r="AQ32" s="332">
        <f t="shared" si="53"/>
        <v>0</v>
      </c>
      <c r="AR32" s="699">
        <f t="shared" si="53"/>
        <v>0</v>
      </c>
      <c r="AS32" s="328">
        <f t="shared" ca="1" si="54"/>
        <v>0</v>
      </c>
      <c r="AT32" s="329">
        <f t="shared" ca="1" si="55"/>
        <v>0</v>
      </c>
      <c r="AU32" s="329">
        <f t="shared" ca="1" si="56"/>
        <v>0</v>
      </c>
      <c r="AV32" s="329">
        <f t="shared" ca="1" si="57"/>
        <v>0</v>
      </c>
      <c r="AW32" s="330">
        <f t="shared" si="58"/>
        <v>0</v>
      </c>
      <c r="AX32" s="328">
        <f t="shared" ca="1" si="59"/>
        <v>0</v>
      </c>
      <c r="AY32" s="329">
        <f t="shared" ca="1" si="59"/>
        <v>0</v>
      </c>
      <c r="AZ32" s="329">
        <f t="shared" ca="1" si="59"/>
        <v>0</v>
      </c>
      <c r="BA32" s="329">
        <f t="shared" ca="1" si="59"/>
        <v>0</v>
      </c>
      <c r="BB32" s="330">
        <f t="shared" si="59"/>
        <v>0</v>
      </c>
      <c r="BC32" s="328">
        <f t="shared" ca="1" si="66"/>
        <v>1</v>
      </c>
      <c r="BD32" s="329">
        <f t="shared" ca="1" si="60"/>
        <v>0</v>
      </c>
      <c r="BE32" s="329">
        <f t="shared" ca="1" si="61"/>
        <v>0</v>
      </c>
      <c r="BF32" s="329">
        <f t="shared" ca="1" si="62"/>
        <v>0</v>
      </c>
      <c r="BG32" s="329">
        <f t="shared" ca="1" si="63"/>
        <v>0</v>
      </c>
      <c r="BH32" s="330">
        <f t="shared" ca="1" si="64"/>
        <v>0</v>
      </c>
    </row>
    <row r="33" spans="1:62" x14ac:dyDescent="0.2">
      <c r="A33" s="334">
        <v>2016</v>
      </c>
      <c r="B33" s="931">
        <f t="shared" si="30"/>
        <v>96771.81</v>
      </c>
      <c r="C33" s="932">
        <f t="shared" si="30"/>
        <v>1000000</v>
      </c>
      <c r="D33" s="932">
        <f t="shared" si="30"/>
        <v>1000000</v>
      </c>
      <c r="E33" s="932">
        <f t="shared" si="30"/>
        <v>1000000</v>
      </c>
      <c r="F33" s="932">
        <f t="shared" si="30"/>
        <v>1000000</v>
      </c>
      <c r="G33" s="933">
        <f t="shared" si="30"/>
        <v>1000000</v>
      </c>
      <c r="H33" s="886">
        <f t="shared" si="31"/>
        <v>1</v>
      </c>
      <c r="I33" s="887">
        <f t="shared" si="31"/>
        <v>1</v>
      </c>
      <c r="J33" s="887">
        <f t="shared" si="31"/>
        <v>1</v>
      </c>
      <c r="K33" s="887">
        <f t="shared" si="31"/>
        <v>1</v>
      </c>
      <c r="L33" s="887">
        <f t="shared" si="31"/>
        <v>1</v>
      </c>
      <c r="M33" s="888">
        <f t="shared" si="31"/>
        <v>1</v>
      </c>
      <c r="N33" s="833">
        <f t="shared" si="32"/>
        <v>7177.2640747802361</v>
      </c>
      <c r="O33" s="294">
        <f t="shared" si="33"/>
        <v>44794.392494999986</v>
      </c>
      <c r="P33" s="294">
        <f t="shared" si="34"/>
        <v>44794.392494999986</v>
      </c>
      <c r="Q33" s="294">
        <f t="shared" si="35"/>
        <v>44794.392494999986</v>
      </c>
      <c r="R33" s="294">
        <f t="shared" si="36"/>
        <v>44794.392494999986</v>
      </c>
      <c r="S33" s="296">
        <f t="shared" si="37"/>
        <v>75120.124582499979</v>
      </c>
      <c r="T33" s="833">
        <f t="shared" si="38"/>
        <v>-37617.128420219749</v>
      </c>
      <c r="U33" s="294">
        <f t="shared" si="39"/>
        <v>-37617.128420219749</v>
      </c>
      <c r="V33" s="294">
        <f t="shared" si="40"/>
        <v>-37617.128420219749</v>
      </c>
      <c r="W33" s="294">
        <f t="shared" si="41"/>
        <v>-37617.128420219749</v>
      </c>
      <c r="X33" s="295">
        <f t="shared" si="42"/>
        <v>-67942.860507719743</v>
      </c>
      <c r="Y33" s="297">
        <f ca="1">IF(AND(Y$22=TRUE,INDEX(CDRANGE_CLS3,MATCH($A33,$A$24:$A$67,0),MATCH(Y$20,$B$20:$G$20,0))&lt;$D$6/OPDAYS_Cls3),86,payback(C33,T33,disc_rate/12,85))</f>
        <v>86</v>
      </c>
      <c r="Z33" s="298">
        <f ca="1">IF(AND(Z$22=TRUE,INDEX(CDRANGE_CLS3,MATCH($A33,$A$24:$A$67,0),MATCH(Z$20,$B$20:$G$20,0))&lt;$D$6/OPDAYS_Cls3),86,payback(D33,U33,disc_rate/12,85))</f>
        <v>86</v>
      </c>
      <c r="AA33" s="298">
        <f ca="1">IF(AND(AA$22=TRUE,INDEX(CDRANGE_CLS3,MATCH($A33,$A$24:$A$67,0),MATCH(AA$20,$B$20:$G$20,0))&lt;$D$6/OPDAYS_Cls3),86,payback(E33,V33,disc_rate/12,85))</f>
        <v>86</v>
      </c>
      <c r="AB33" s="298">
        <f ca="1">IF(AND(AB$22=TRUE,INDEX(CDRANGE_CLS3,MATCH($A33,$A$24:$A$67,0),MATCH(AB$20,$B$20:$G$20,0))&lt;$D$6/OPDAYS_Cls3),86,payback(F33,W33,disc_rate/12,85))</f>
        <v>86</v>
      </c>
      <c r="AC33" s="299">
        <f>IF(AND(AC$22=TRUE,INDEX(CDRANGE_CLS3,MATCH($A33,$A$24:$A$67,0),MATCH(AC$20,$B$20:$G$20,0))&lt;$D$6/OPDAYS_Cls3),86,payback(G33,X33,disc_rate/12,85))</f>
        <v>86</v>
      </c>
      <c r="AD33" s="300">
        <f t="shared" si="43"/>
        <v>0</v>
      </c>
      <c r="AE33" s="301">
        <f t="shared" si="44"/>
        <v>0</v>
      </c>
      <c r="AF33" s="301">
        <f t="shared" si="45"/>
        <v>0</v>
      </c>
      <c r="AG33" s="301">
        <f t="shared" si="46"/>
        <v>0</v>
      </c>
      <c r="AH33" s="302">
        <f t="shared" si="47"/>
        <v>0</v>
      </c>
      <c r="AI33" s="694">
        <f t="shared" si="48"/>
        <v>0</v>
      </c>
      <c r="AJ33" s="304">
        <f t="shared" si="49"/>
        <v>0</v>
      </c>
      <c r="AK33" s="304">
        <f t="shared" si="50"/>
        <v>0</v>
      </c>
      <c r="AL33" s="304">
        <f t="shared" si="51"/>
        <v>0</v>
      </c>
      <c r="AM33" s="711">
        <f t="shared" si="52"/>
        <v>0</v>
      </c>
      <c r="AN33" s="303">
        <f t="shared" si="65"/>
        <v>0</v>
      </c>
      <c r="AO33" s="304">
        <f t="shared" si="53"/>
        <v>0</v>
      </c>
      <c r="AP33" s="304">
        <f t="shared" si="53"/>
        <v>0</v>
      </c>
      <c r="AQ33" s="304">
        <f t="shared" si="53"/>
        <v>0</v>
      </c>
      <c r="AR33" s="711">
        <f t="shared" si="53"/>
        <v>0</v>
      </c>
      <c r="AS33" s="300">
        <f t="shared" ca="1" si="54"/>
        <v>0</v>
      </c>
      <c r="AT33" s="301">
        <f t="shared" ca="1" si="55"/>
        <v>0</v>
      </c>
      <c r="AU33" s="301">
        <f t="shared" ca="1" si="56"/>
        <v>0</v>
      </c>
      <c r="AV33" s="301">
        <f t="shared" ca="1" si="57"/>
        <v>0</v>
      </c>
      <c r="AW33" s="302">
        <f t="shared" si="58"/>
        <v>0</v>
      </c>
      <c r="AX33" s="300">
        <f t="shared" ca="1" si="59"/>
        <v>0</v>
      </c>
      <c r="AY33" s="301">
        <f t="shared" ca="1" si="59"/>
        <v>0</v>
      </c>
      <c r="AZ33" s="301">
        <f t="shared" ca="1" si="59"/>
        <v>0</v>
      </c>
      <c r="BA33" s="301">
        <f t="shared" ca="1" si="59"/>
        <v>0</v>
      </c>
      <c r="BB33" s="302">
        <f t="shared" si="59"/>
        <v>0</v>
      </c>
      <c r="BC33" s="300">
        <f t="shared" ca="1" si="66"/>
        <v>1</v>
      </c>
      <c r="BD33" s="301">
        <f t="shared" ca="1" si="60"/>
        <v>0</v>
      </c>
      <c r="BE33" s="301">
        <f t="shared" ca="1" si="61"/>
        <v>0</v>
      </c>
      <c r="BF33" s="301">
        <f t="shared" ca="1" si="62"/>
        <v>0</v>
      </c>
      <c r="BG33" s="301">
        <f t="shared" ca="1" si="63"/>
        <v>0</v>
      </c>
      <c r="BH33" s="302">
        <f t="shared" ca="1" si="64"/>
        <v>0</v>
      </c>
    </row>
    <row r="34" spans="1:62" x14ac:dyDescent="0.2">
      <c r="A34" s="335">
        <v>2017</v>
      </c>
      <c r="B34" s="925">
        <f t="shared" ref="B34:G43" si="67">ROUND(INDEX(COST_Cls3,$A34-($A$24-1),MATCH(B$20,TECHOPTS_Cls3,0)),2)</f>
        <v>96771.81</v>
      </c>
      <c r="C34" s="926">
        <f t="shared" si="67"/>
        <v>1000000</v>
      </c>
      <c r="D34" s="926">
        <f t="shared" si="67"/>
        <v>1000000</v>
      </c>
      <c r="E34" s="926">
        <f t="shared" si="67"/>
        <v>1000000</v>
      </c>
      <c r="F34" s="926">
        <f t="shared" si="67"/>
        <v>1000000</v>
      </c>
      <c r="G34" s="927">
        <f t="shared" si="67"/>
        <v>1000000</v>
      </c>
      <c r="H34" s="886">
        <f t="shared" ref="H34:M43" si="68">IF(H$21="Single-fuel",1,1-MIN(INDEX(CDRANGE_CLS3,$A34-($A$24-1),MATCH(H$20,TECHOPTS_Cls3,0))*OPDAYS_Cls3/$D$6,1))</f>
        <v>1</v>
      </c>
      <c r="I34" s="887">
        <f t="shared" si="68"/>
        <v>1</v>
      </c>
      <c r="J34" s="887">
        <f t="shared" si="68"/>
        <v>1</v>
      </c>
      <c r="K34" s="887">
        <f t="shared" si="68"/>
        <v>1</v>
      </c>
      <c r="L34" s="887">
        <f t="shared" si="68"/>
        <v>1</v>
      </c>
      <c r="M34" s="888">
        <f t="shared" si="68"/>
        <v>1</v>
      </c>
      <c r="N34" s="833">
        <f t="shared" si="32"/>
        <v>8043.4824379907732</v>
      </c>
      <c r="O34" s="294">
        <f t="shared" si="33"/>
        <v>50936.327566874999</v>
      </c>
      <c r="P34" s="294">
        <f t="shared" si="34"/>
        <v>50936.327566874999</v>
      </c>
      <c r="Q34" s="294">
        <f t="shared" si="35"/>
        <v>50936.327566874999</v>
      </c>
      <c r="R34" s="294">
        <f t="shared" si="36"/>
        <v>50936.327566874999</v>
      </c>
      <c r="S34" s="296">
        <f t="shared" si="37"/>
        <v>75681.963607499987</v>
      </c>
      <c r="T34" s="834">
        <f t="shared" si="38"/>
        <v>-42892.845128884226</v>
      </c>
      <c r="U34" s="308">
        <f t="shared" si="39"/>
        <v>-42892.845128884226</v>
      </c>
      <c r="V34" s="308">
        <f t="shared" si="40"/>
        <v>-42892.845128884226</v>
      </c>
      <c r="W34" s="308">
        <f t="shared" si="41"/>
        <v>-42892.845128884226</v>
      </c>
      <c r="X34" s="309">
        <f t="shared" si="42"/>
        <v>-67638.481169509207</v>
      </c>
      <c r="Y34" s="297">
        <f ca="1">IF(AND(Y$22=TRUE,INDEX(CDRANGE_CLS3,MATCH($A34,$A$24:$A$67,0),MATCH(Y$20,$B$20:$G$20,0))&lt;$D$6/OPDAYS_Cls3),86,payback(C34,T34,disc_rate/12,85))</f>
        <v>86</v>
      </c>
      <c r="Z34" s="298">
        <f ca="1">IF(AND(Z$22=TRUE,INDEX(CDRANGE_CLS3,MATCH($A34,$A$24:$A$67,0),MATCH(Z$20,$B$20:$G$20,0))&lt;$D$6/OPDAYS_Cls3),86,payback(D34,U34,disc_rate/12,85))</f>
        <v>86</v>
      </c>
      <c r="AA34" s="298">
        <f ca="1">IF(AND(AA$22=TRUE,INDEX(CDRANGE_CLS3,MATCH($A34,$A$24:$A$67,0),MATCH(AA$20,$B$20:$G$20,0))&lt;$D$6/OPDAYS_Cls3),86,payback(E34,V34,disc_rate/12,85))</f>
        <v>86</v>
      </c>
      <c r="AB34" s="298">
        <f ca="1">IF(AND(AB$22=TRUE,INDEX(CDRANGE_CLS3,MATCH($A34,$A$24:$A$67,0),MATCH(AB$20,$B$20:$G$20,0))&lt;$D$6/OPDAYS_Cls3),86,payback(F34,W34,disc_rate/12,85))</f>
        <v>86</v>
      </c>
      <c r="AC34" s="299">
        <f>IF(AND(AC$22=TRUE,INDEX(CDRANGE_CLS3,MATCH($A34,$A$24:$A$67,0),MATCH(AC$20,$B$20:$G$20,0))&lt;$D$6/OPDAYS_Cls3),86,payback(G34,X34,disc_rate/12,85))</f>
        <v>86</v>
      </c>
      <c r="AD34" s="314">
        <f t="shared" si="43"/>
        <v>0</v>
      </c>
      <c r="AE34" s="315">
        <f t="shared" si="44"/>
        <v>0</v>
      </c>
      <c r="AF34" s="315">
        <f t="shared" si="45"/>
        <v>0</v>
      </c>
      <c r="AG34" s="315">
        <f t="shared" si="46"/>
        <v>0</v>
      </c>
      <c r="AH34" s="316">
        <f t="shared" si="47"/>
        <v>0</v>
      </c>
      <c r="AI34" s="695">
        <f t="shared" si="48"/>
        <v>0</v>
      </c>
      <c r="AJ34" s="318">
        <f t="shared" si="49"/>
        <v>0</v>
      </c>
      <c r="AK34" s="318">
        <f t="shared" si="50"/>
        <v>0</v>
      </c>
      <c r="AL34" s="318">
        <f t="shared" si="51"/>
        <v>0</v>
      </c>
      <c r="AM34" s="698">
        <f t="shared" si="52"/>
        <v>0</v>
      </c>
      <c r="AN34" s="317">
        <f t="shared" si="65"/>
        <v>0</v>
      </c>
      <c r="AO34" s="318">
        <f t="shared" si="53"/>
        <v>0</v>
      </c>
      <c r="AP34" s="318">
        <f t="shared" si="53"/>
        <v>0</v>
      </c>
      <c r="AQ34" s="318">
        <f t="shared" si="53"/>
        <v>0</v>
      </c>
      <c r="AR34" s="698">
        <f t="shared" si="53"/>
        <v>0</v>
      </c>
      <c r="AS34" s="314">
        <f t="shared" ca="1" si="54"/>
        <v>0</v>
      </c>
      <c r="AT34" s="315">
        <f t="shared" ca="1" si="55"/>
        <v>0</v>
      </c>
      <c r="AU34" s="315">
        <f t="shared" ca="1" si="56"/>
        <v>0</v>
      </c>
      <c r="AV34" s="315">
        <f t="shared" ca="1" si="57"/>
        <v>0</v>
      </c>
      <c r="AW34" s="316">
        <f t="shared" si="58"/>
        <v>0</v>
      </c>
      <c r="AX34" s="314">
        <f t="shared" ca="1" si="59"/>
        <v>0</v>
      </c>
      <c r="AY34" s="315">
        <f t="shared" ca="1" si="59"/>
        <v>0</v>
      </c>
      <c r="AZ34" s="315">
        <f t="shared" ca="1" si="59"/>
        <v>0</v>
      </c>
      <c r="BA34" s="315">
        <f t="shared" ca="1" si="59"/>
        <v>0</v>
      </c>
      <c r="BB34" s="316">
        <f t="shared" si="59"/>
        <v>0</v>
      </c>
      <c r="BC34" s="314">
        <f t="shared" ca="1" si="66"/>
        <v>1</v>
      </c>
      <c r="BD34" s="315">
        <f t="shared" ca="1" si="60"/>
        <v>0</v>
      </c>
      <c r="BE34" s="315">
        <f t="shared" ca="1" si="61"/>
        <v>0</v>
      </c>
      <c r="BF34" s="315">
        <f t="shared" ca="1" si="62"/>
        <v>0</v>
      </c>
      <c r="BG34" s="315">
        <f t="shared" ca="1" si="63"/>
        <v>0</v>
      </c>
      <c r="BH34" s="316">
        <f t="shared" ca="1" si="64"/>
        <v>0</v>
      </c>
    </row>
    <row r="35" spans="1:62" x14ac:dyDescent="0.2">
      <c r="A35" s="335">
        <v>2018</v>
      </c>
      <c r="B35" s="925">
        <f t="shared" si="67"/>
        <v>96771.81</v>
      </c>
      <c r="C35" s="926">
        <f t="shared" si="67"/>
        <v>1000000</v>
      </c>
      <c r="D35" s="926">
        <f t="shared" si="67"/>
        <v>1000000</v>
      </c>
      <c r="E35" s="926">
        <f t="shared" si="67"/>
        <v>1000000</v>
      </c>
      <c r="F35" s="926">
        <f t="shared" si="67"/>
        <v>1000000</v>
      </c>
      <c r="G35" s="927">
        <f t="shared" si="67"/>
        <v>1000000</v>
      </c>
      <c r="H35" s="886">
        <f t="shared" si="68"/>
        <v>1</v>
      </c>
      <c r="I35" s="887">
        <f t="shared" si="68"/>
        <v>1</v>
      </c>
      <c r="J35" s="887">
        <f t="shared" si="68"/>
        <v>1</v>
      </c>
      <c r="K35" s="887">
        <f t="shared" si="68"/>
        <v>1</v>
      </c>
      <c r="L35" s="887">
        <f t="shared" si="68"/>
        <v>1</v>
      </c>
      <c r="M35" s="888">
        <f t="shared" si="68"/>
        <v>1</v>
      </c>
      <c r="N35" s="833">
        <f t="shared" si="32"/>
        <v>9241.3610962720577</v>
      </c>
      <c r="O35" s="294">
        <f t="shared" si="33"/>
        <v>60229.80403875</v>
      </c>
      <c r="P35" s="294">
        <f t="shared" si="34"/>
        <v>60229.80403875</v>
      </c>
      <c r="Q35" s="294">
        <f t="shared" si="35"/>
        <v>60229.80403875</v>
      </c>
      <c r="R35" s="294">
        <f t="shared" si="36"/>
        <v>60229.80403875</v>
      </c>
      <c r="S35" s="296">
        <f t="shared" si="37"/>
        <v>86568.231870000003</v>
      </c>
      <c r="T35" s="834">
        <f t="shared" si="38"/>
        <v>-50988.442942477945</v>
      </c>
      <c r="U35" s="308">
        <f t="shared" si="39"/>
        <v>-50988.442942477945</v>
      </c>
      <c r="V35" s="308">
        <f t="shared" si="40"/>
        <v>-50988.442942477945</v>
      </c>
      <c r="W35" s="308">
        <f t="shared" si="41"/>
        <v>-50988.442942477945</v>
      </c>
      <c r="X35" s="309">
        <f t="shared" si="42"/>
        <v>-77326.870773727947</v>
      </c>
      <c r="Y35" s="297">
        <f ca="1">IF(AND(Y$22=TRUE,INDEX(CDRANGE_CLS3,MATCH($A35,$A$24:$A$67,0),MATCH(Y$20,$B$20:$G$20,0))&lt;$D$6/OPDAYS_Cls3),86,payback(C35,T35,disc_rate/12,85))</f>
        <v>86</v>
      </c>
      <c r="Z35" s="298">
        <f ca="1">IF(AND(Z$22=TRUE,INDEX(CDRANGE_CLS3,MATCH($A35,$A$24:$A$67,0),MATCH(Z$20,$B$20:$G$20,0))&lt;$D$6/OPDAYS_Cls3),86,payback(D35,U35,disc_rate/12,85))</f>
        <v>86</v>
      </c>
      <c r="AA35" s="298">
        <f ca="1">IF(AND(AA$22=TRUE,INDEX(CDRANGE_CLS3,MATCH($A35,$A$24:$A$67,0),MATCH(AA$20,$B$20:$G$20,0))&lt;$D$6/OPDAYS_Cls3),86,payback(E35,V35,disc_rate/12,85))</f>
        <v>86</v>
      </c>
      <c r="AB35" s="298">
        <f ca="1">IF(AND(AB$22=TRUE,INDEX(CDRANGE_CLS3,MATCH($A35,$A$24:$A$67,0),MATCH(AB$20,$B$20:$G$20,0))&lt;$D$6/OPDAYS_Cls3),86,payback(F35,W35,disc_rate/12,85))</f>
        <v>86</v>
      </c>
      <c r="AC35" s="299">
        <f>IF(AND(AC$22=TRUE,INDEX(CDRANGE_CLS3,MATCH($A35,$A$24:$A$67,0),MATCH(AC$20,$B$20:$G$20,0))&lt;$D$6/OPDAYS_Cls3),86,payback(G35,X35,disc_rate/12,85))</f>
        <v>86</v>
      </c>
      <c r="AD35" s="314">
        <f t="shared" si="43"/>
        <v>0</v>
      </c>
      <c r="AE35" s="315">
        <f t="shared" si="44"/>
        <v>0</v>
      </c>
      <c r="AF35" s="315">
        <f t="shared" si="45"/>
        <v>0</v>
      </c>
      <c r="AG35" s="315">
        <f t="shared" si="46"/>
        <v>0</v>
      </c>
      <c r="AH35" s="316">
        <f t="shared" si="47"/>
        <v>0</v>
      </c>
      <c r="AI35" s="695">
        <f t="shared" si="48"/>
        <v>0</v>
      </c>
      <c r="AJ35" s="318">
        <f t="shared" si="49"/>
        <v>0</v>
      </c>
      <c r="AK35" s="318">
        <f t="shared" si="50"/>
        <v>0</v>
      </c>
      <c r="AL35" s="318">
        <f t="shared" si="51"/>
        <v>0</v>
      </c>
      <c r="AM35" s="698">
        <f t="shared" si="52"/>
        <v>0</v>
      </c>
      <c r="AN35" s="317">
        <f t="shared" si="65"/>
        <v>0</v>
      </c>
      <c r="AO35" s="318">
        <f t="shared" si="53"/>
        <v>0</v>
      </c>
      <c r="AP35" s="318">
        <f t="shared" si="53"/>
        <v>0</v>
      </c>
      <c r="AQ35" s="318">
        <f t="shared" si="53"/>
        <v>0</v>
      </c>
      <c r="AR35" s="698">
        <f t="shared" si="53"/>
        <v>0</v>
      </c>
      <c r="AS35" s="314">
        <f t="shared" ca="1" si="54"/>
        <v>0</v>
      </c>
      <c r="AT35" s="315">
        <f t="shared" ca="1" si="55"/>
        <v>0</v>
      </c>
      <c r="AU35" s="315">
        <f t="shared" ca="1" si="56"/>
        <v>0</v>
      </c>
      <c r="AV35" s="315">
        <f t="shared" ca="1" si="57"/>
        <v>0</v>
      </c>
      <c r="AW35" s="316">
        <f t="shared" si="58"/>
        <v>0</v>
      </c>
      <c r="AX35" s="314">
        <f t="shared" ca="1" si="59"/>
        <v>0</v>
      </c>
      <c r="AY35" s="315">
        <f t="shared" ca="1" si="59"/>
        <v>0</v>
      </c>
      <c r="AZ35" s="315">
        <f t="shared" ca="1" si="59"/>
        <v>0</v>
      </c>
      <c r="BA35" s="315">
        <f t="shared" ca="1" si="59"/>
        <v>0</v>
      </c>
      <c r="BB35" s="316">
        <f t="shared" si="59"/>
        <v>0</v>
      </c>
      <c r="BC35" s="314">
        <f t="shared" ca="1" si="66"/>
        <v>1</v>
      </c>
      <c r="BD35" s="315">
        <f t="shared" ca="1" si="60"/>
        <v>0</v>
      </c>
      <c r="BE35" s="315">
        <f t="shared" ca="1" si="61"/>
        <v>0</v>
      </c>
      <c r="BF35" s="315">
        <f t="shared" ca="1" si="62"/>
        <v>0</v>
      </c>
      <c r="BG35" s="315">
        <f t="shared" ca="1" si="63"/>
        <v>0</v>
      </c>
      <c r="BH35" s="316">
        <f t="shared" ca="1" si="64"/>
        <v>0</v>
      </c>
    </row>
    <row r="36" spans="1:62" x14ac:dyDescent="0.2">
      <c r="A36" s="335">
        <v>2019</v>
      </c>
      <c r="B36" s="925">
        <f t="shared" si="67"/>
        <v>96771.81</v>
      </c>
      <c r="C36" s="926">
        <f t="shared" si="67"/>
        <v>1000000</v>
      </c>
      <c r="D36" s="926">
        <f t="shared" si="67"/>
        <v>1000000</v>
      </c>
      <c r="E36" s="926">
        <f t="shared" si="67"/>
        <v>1000000</v>
      </c>
      <c r="F36" s="926">
        <f t="shared" si="67"/>
        <v>1000000</v>
      </c>
      <c r="G36" s="927">
        <f t="shared" si="67"/>
        <v>1000000</v>
      </c>
      <c r="H36" s="886">
        <f t="shared" si="68"/>
        <v>1</v>
      </c>
      <c r="I36" s="887">
        <f t="shared" si="68"/>
        <v>1</v>
      </c>
      <c r="J36" s="887">
        <f t="shared" si="68"/>
        <v>1</v>
      </c>
      <c r="K36" s="887">
        <f t="shared" si="68"/>
        <v>1</v>
      </c>
      <c r="L36" s="887">
        <f t="shared" si="68"/>
        <v>1</v>
      </c>
      <c r="M36" s="888">
        <f t="shared" si="68"/>
        <v>1</v>
      </c>
      <c r="N36" s="833">
        <f t="shared" si="32"/>
        <v>9019.6967889183361</v>
      </c>
      <c r="O36" s="294">
        <f t="shared" si="33"/>
        <v>59086.262414999997</v>
      </c>
      <c r="P36" s="294">
        <f t="shared" si="34"/>
        <v>59086.262414999997</v>
      </c>
      <c r="Q36" s="294">
        <f t="shared" si="35"/>
        <v>59086.262414999997</v>
      </c>
      <c r="R36" s="294">
        <f t="shared" si="36"/>
        <v>59086.262414999997</v>
      </c>
      <c r="S36" s="296">
        <f t="shared" si="37"/>
        <v>91806.663005625</v>
      </c>
      <c r="T36" s="834">
        <f t="shared" si="38"/>
        <v>-50066.565626081661</v>
      </c>
      <c r="U36" s="308">
        <f t="shared" si="39"/>
        <v>-50066.565626081661</v>
      </c>
      <c r="V36" s="308">
        <f t="shared" si="40"/>
        <v>-50066.565626081661</v>
      </c>
      <c r="W36" s="308">
        <f t="shared" si="41"/>
        <v>-50066.565626081661</v>
      </c>
      <c r="X36" s="309">
        <f t="shared" si="42"/>
        <v>-82786.966216706671</v>
      </c>
      <c r="Y36" s="297">
        <f ca="1">IF(AND(Y$22=TRUE,INDEX(CDRANGE_CLS3,MATCH($A36,$A$24:$A$67,0),MATCH(Y$20,$B$20:$G$20,0))&lt;$D$6/OPDAYS_Cls3),86,payback(C36,T36,disc_rate/12,85))</f>
        <v>86</v>
      </c>
      <c r="Z36" s="298">
        <f ca="1">IF(AND(Z$22=TRUE,INDEX(CDRANGE_CLS3,MATCH($A36,$A$24:$A$67,0),MATCH(Z$20,$B$20:$G$20,0))&lt;$D$6/OPDAYS_Cls3),86,payback(D36,U36,disc_rate/12,85))</f>
        <v>86</v>
      </c>
      <c r="AA36" s="298">
        <f ca="1">IF(AND(AA$22=TRUE,INDEX(CDRANGE_CLS3,MATCH($A36,$A$24:$A$67,0),MATCH(AA$20,$B$20:$G$20,0))&lt;$D$6/OPDAYS_Cls3),86,payback(E36,V36,disc_rate/12,85))</f>
        <v>86</v>
      </c>
      <c r="AB36" s="298">
        <f ca="1">IF(AND(AB$22=TRUE,INDEX(CDRANGE_CLS3,MATCH($A36,$A$24:$A$67,0),MATCH(AB$20,$B$20:$G$20,0))&lt;$D$6/OPDAYS_Cls3),86,payback(F36,W36,disc_rate/12,85))</f>
        <v>86</v>
      </c>
      <c r="AC36" s="299">
        <f>IF(AND(AC$22=TRUE,INDEX(CDRANGE_CLS3,MATCH($A36,$A$24:$A$67,0),MATCH(AC$20,$B$20:$G$20,0))&lt;$D$6/OPDAYS_Cls3),86,payback(G36,X36,disc_rate/12,85))</f>
        <v>86</v>
      </c>
      <c r="AD36" s="314">
        <f t="shared" si="43"/>
        <v>0</v>
      </c>
      <c r="AE36" s="315">
        <f t="shared" si="44"/>
        <v>0</v>
      </c>
      <c r="AF36" s="315">
        <f t="shared" si="45"/>
        <v>0</v>
      </c>
      <c r="AG36" s="315">
        <f t="shared" si="46"/>
        <v>0</v>
      </c>
      <c r="AH36" s="316">
        <f t="shared" si="47"/>
        <v>0</v>
      </c>
      <c r="AI36" s="695">
        <f t="shared" si="48"/>
        <v>0</v>
      </c>
      <c r="AJ36" s="318">
        <f t="shared" si="49"/>
        <v>0</v>
      </c>
      <c r="AK36" s="318">
        <f t="shared" si="50"/>
        <v>0</v>
      </c>
      <c r="AL36" s="318">
        <f t="shared" si="51"/>
        <v>0</v>
      </c>
      <c r="AM36" s="698">
        <f t="shared" si="52"/>
        <v>0</v>
      </c>
      <c r="AN36" s="317">
        <f t="shared" si="65"/>
        <v>0</v>
      </c>
      <c r="AO36" s="318">
        <f t="shared" si="53"/>
        <v>0</v>
      </c>
      <c r="AP36" s="318">
        <f t="shared" si="53"/>
        <v>0</v>
      </c>
      <c r="AQ36" s="318">
        <f t="shared" si="53"/>
        <v>0</v>
      </c>
      <c r="AR36" s="698">
        <f t="shared" si="53"/>
        <v>0</v>
      </c>
      <c r="AS36" s="314">
        <f t="shared" ca="1" si="54"/>
        <v>0</v>
      </c>
      <c r="AT36" s="315">
        <f t="shared" ca="1" si="55"/>
        <v>0</v>
      </c>
      <c r="AU36" s="315">
        <f t="shared" ca="1" si="56"/>
        <v>0</v>
      </c>
      <c r="AV36" s="315">
        <f t="shared" ca="1" si="57"/>
        <v>0</v>
      </c>
      <c r="AW36" s="316">
        <f t="shared" si="58"/>
        <v>0</v>
      </c>
      <c r="AX36" s="314">
        <f t="shared" ca="1" si="59"/>
        <v>0</v>
      </c>
      <c r="AY36" s="315">
        <f t="shared" ca="1" si="59"/>
        <v>0</v>
      </c>
      <c r="AZ36" s="315">
        <f t="shared" ca="1" si="59"/>
        <v>0</v>
      </c>
      <c r="BA36" s="315">
        <f t="shared" ca="1" si="59"/>
        <v>0</v>
      </c>
      <c r="BB36" s="316">
        <f t="shared" si="59"/>
        <v>0</v>
      </c>
      <c r="BC36" s="314">
        <f t="shared" ca="1" si="66"/>
        <v>1</v>
      </c>
      <c r="BD36" s="315">
        <f t="shared" ca="1" si="60"/>
        <v>0</v>
      </c>
      <c r="BE36" s="315">
        <f t="shared" ca="1" si="61"/>
        <v>0</v>
      </c>
      <c r="BF36" s="315">
        <f t="shared" ca="1" si="62"/>
        <v>0</v>
      </c>
      <c r="BG36" s="315">
        <f t="shared" ca="1" si="63"/>
        <v>0</v>
      </c>
      <c r="BH36" s="316">
        <f t="shared" ca="1" si="64"/>
        <v>0</v>
      </c>
    </row>
    <row r="37" spans="1:62" ht="13.5" thickBot="1" x14ac:dyDescent="0.25">
      <c r="A37" s="718">
        <v>2020</v>
      </c>
      <c r="B37" s="919">
        <f t="shared" si="67"/>
        <v>96771.81</v>
      </c>
      <c r="C37" s="920">
        <f t="shared" si="67"/>
        <v>1000000</v>
      </c>
      <c r="D37" s="920">
        <f t="shared" si="67"/>
        <v>1000000</v>
      </c>
      <c r="E37" s="920">
        <f t="shared" si="67"/>
        <v>1000000</v>
      </c>
      <c r="F37" s="920">
        <f t="shared" si="67"/>
        <v>1000000</v>
      </c>
      <c r="G37" s="921">
        <f t="shared" si="67"/>
        <v>1000000</v>
      </c>
      <c r="H37" s="886">
        <f t="shared" si="68"/>
        <v>1</v>
      </c>
      <c r="I37" s="887">
        <f t="shared" si="68"/>
        <v>1</v>
      </c>
      <c r="J37" s="887">
        <f t="shared" si="68"/>
        <v>1</v>
      </c>
      <c r="K37" s="887">
        <f t="shared" si="68"/>
        <v>1</v>
      </c>
      <c r="L37" s="887">
        <f t="shared" si="68"/>
        <v>1</v>
      </c>
      <c r="M37" s="888">
        <f t="shared" si="68"/>
        <v>1</v>
      </c>
      <c r="N37" s="988">
        <f t="shared" si="32"/>
        <v>9539.4050931220791</v>
      </c>
      <c r="O37" s="881">
        <f t="shared" si="33"/>
        <v>62936.550142499997</v>
      </c>
      <c r="P37" s="881">
        <f t="shared" si="34"/>
        <v>62936.550142499997</v>
      </c>
      <c r="Q37" s="881">
        <f t="shared" si="35"/>
        <v>62936.550142499997</v>
      </c>
      <c r="R37" s="881">
        <f t="shared" si="36"/>
        <v>62936.550142499997</v>
      </c>
      <c r="S37" s="882">
        <f t="shared" si="37"/>
        <v>185454.43327875002</v>
      </c>
      <c r="T37" s="835">
        <f t="shared" si="38"/>
        <v>-53397.145049377919</v>
      </c>
      <c r="U37" s="719">
        <f t="shared" si="39"/>
        <v>-53397.145049377919</v>
      </c>
      <c r="V37" s="719">
        <f t="shared" si="40"/>
        <v>-53397.145049377919</v>
      </c>
      <c r="W37" s="719">
        <f t="shared" si="41"/>
        <v>-53397.145049377919</v>
      </c>
      <c r="X37" s="720">
        <f t="shared" si="42"/>
        <v>-175915.02818562795</v>
      </c>
      <c r="Y37" s="823">
        <f ca="1">IF(AND(Y$22=TRUE,INDEX(CDRANGE_CLS3,MATCH($A37,$A$24:$A$67,0),MATCH(Y$20,$B$20:$G$20,0))&lt;$D$6/OPDAYS_Cls3),86,payback(C37,T37,disc_rate/12,85))</f>
        <v>86</v>
      </c>
      <c r="Z37" s="824">
        <f ca="1">IF(AND(Z$22=TRUE,INDEX(CDRANGE_CLS3,MATCH($A37,$A$24:$A$67,0),MATCH(Z$20,$B$20:$G$20,0))&lt;$D$6/OPDAYS_Cls3),86,payback(D37,U37,disc_rate/12,85))</f>
        <v>86</v>
      </c>
      <c r="AA37" s="824">
        <f ca="1">IF(AND(AA$22=TRUE,INDEX(CDRANGE_CLS3,MATCH($A37,$A$24:$A$67,0),MATCH(AA$20,$B$20:$G$20,0))&lt;$D$6/OPDAYS_Cls3),86,payback(E37,V37,disc_rate/12,85))</f>
        <v>86</v>
      </c>
      <c r="AB37" s="824">
        <f ca="1">IF(AND(AB$22=TRUE,INDEX(CDRANGE_CLS3,MATCH($A37,$A$24:$A$67,0),MATCH(AB$20,$B$20:$G$20,0))&lt;$D$6/OPDAYS_Cls3),86,payback(F37,W37,disc_rate/12,85))</f>
        <v>86</v>
      </c>
      <c r="AC37" s="997">
        <f>IF(AND(AC$22=TRUE,INDEX(CDRANGE_CLS3,MATCH($A37,$A$24:$A$67,0),MATCH(AC$20,$B$20:$G$20,0))&lt;$D$6/OPDAYS_Cls3),86,payback(G37,X37,disc_rate/12,85))</f>
        <v>86</v>
      </c>
      <c r="AD37" s="724">
        <f t="shared" si="43"/>
        <v>0</v>
      </c>
      <c r="AE37" s="725">
        <f t="shared" si="44"/>
        <v>0</v>
      </c>
      <c r="AF37" s="725">
        <f t="shared" si="45"/>
        <v>0</v>
      </c>
      <c r="AG37" s="725">
        <f t="shared" si="46"/>
        <v>0</v>
      </c>
      <c r="AH37" s="726">
        <f t="shared" si="47"/>
        <v>0</v>
      </c>
      <c r="AI37" s="727">
        <f t="shared" si="48"/>
        <v>0</v>
      </c>
      <c r="AJ37" s="728">
        <f t="shared" si="49"/>
        <v>0</v>
      </c>
      <c r="AK37" s="728">
        <f t="shared" si="50"/>
        <v>0</v>
      </c>
      <c r="AL37" s="728">
        <f t="shared" si="51"/>
        <v>0</v>
      </c>
      <c r="AM37" s="729">
        <f t="shared" si="52"/>
        <v>0</v>
      </c>
      <c r="AN37" s="730">
        <f t="shared" si="65"/>
        <v>0</v>
      </c>
      <c r="AO37" s="728">
        <f t="shared" si="53"/>
        <v>0</v>
      </c>
      <c r="AP37" s="728">
        <f t="shared" si="53"/>
        <v>0</v>
      </c>
      <c r="AQ37" s="728">
        <f t="shared" si="53"/>
        <v>0</v>
      </c>
      <c r="AR37" s="729">
        <f t="shared" si="53"/>
        <v>0</v>
      </c>
      <c r="AS37" s="724">
        <f t="shared" ca="1" si="54"/>
        <v>0</v>
      </c>
      <c r="AT37" s="725">
        <f t="shared" ca="1" si="55"/>
        <v>0</v>
      </c>
      <c r="AU37" s="725">
        <f t="shared" ca="1" si="56"/>
        <v>0</v>
      </c>
      <c r="AV37" s="725">
        <f t="shared" ca="1" si="57"/>
        <v>0</v>
      </c>
      <c r="AW37" s="726">
        <f t="shared" si="58"/>
        <v>0</v>
      </c>
      <c r="AX37" s="724">
        <f t="shared" ca="1" si="59"/>
        <v>0</v>
      </c>
      <c r="AY37" s="725">
        <f t="shared" ca="1" si="59"/>
        <v>0</v>
      </c>
      <c r="AZ37" s="725">
        <f t="shared" ca="1" si="59"/>
        <v>0</v>
      </c>
      <c r="BA37" s="725">
        <f t="shared" ca="1" si="59"/>
        <v>0</v>
      </c>
      <c r="BB37" s="726">
        <f t="shared" si="59"/>
        <v>0</v>
      </c>
      <c r="BC37" s="724">
        <f t="shared" ca="1" si="66"/>
        <v>1</v>
      </c>
      <c r="BD37" s="725">
        <f t="shared" ca="1" si="60"/>
        <v>0</v>
      </c>
      <c r="BE37" s="725">
        <f t="shared" ca="1" si="61"/>
        <v>0</v>
      </c>
      <c r="BF37" s="725">
        <f t="shared" ca="1" si="62"/>
        <v>0</v>
      </c>
      <c r="BG37" s="725">
        <f t="shared" ca="1" si="63"/>
        <v>0</v>
      </c>
      <c r="BH37" s="726">
        <f t="shared" ca="1" si="64"/>
        <v>0</v>
      </c>
    </row>
    <row r="38" spans="1:62" x14ac:dyDescent="0.2">
      <c r="A38" s="336">
        <v>2021</v>
      </c>
      <c r="B38" s="922">
        <f t="shared" si="67"/>
        <v>97040.03</v>
      </c>
      <c r="C38" s="923">
        <f t="shared" si="67"/>
        <v>840.47</v>
      </c>
      <c r="D38" s="923">
        <f t="shared" si="67"/>
        <v>1666.48</v>
      </c>
      <c r="E38" s="923">
        <f t="shared" si="67"/>
        <v>13109.73</v>
      </c>
      <c r="F38" s="923">
        <f t="shared" si="67"/>
        <v>144164.79999999999</v>
      </c>
      <c r="G38" s="924">
        <f t="shared" si="67"/>
        <v>254951.1</v>
      </c>
      <c r="H38" s="886">
        <f t="shared" si="68"/>
        <v>1</v>
      </c>
      <c r="I38" s="887">
        <f t="shared" si="68"/>
        <v>1</v>
      </c>
      <c r="J38" s="887">
        <f t="shared" si="68"/>
        <v>1</v>
      </c>
      <c r="K38" s="887">
        <f t="shared" si="68"/>
        <v>1</v>
      </c>
      <c r="L38" s="887">
        <f t="shared" si="68"/>
        <v>0.82977468107699859</v>
      </c>
      <c r="M38" s="888">
        <f t="shared" si="68"/>
        <v>1</v>
      </c>
      <c r="N38" s="836">
        <f t="shared" si="32"/>
        <v>9246.7605801508107</v>
      </c>
      <c r="O38" s="732">
        <f t="shared" si="33"/>
        <v>9062.1594667342106</v>
      </c>
      <c r="P38" s="732">
        <f t="shared" si="34"/>
        <v>8598.191766390275</v>
      </c>
      <c r="Q38" s="732">
        <f t="shared" si="35"/>
        <v>7963.2911243783301</v>
      </c>
      <c r="R38" s="732">
        <f t="shared" si="36"/>
        <v>9065.2971820898474</v>
      </c>
      <c r="S38" s="846">
        <f t="shared" si="37"/>
        <v>10114.812165629148</v>
      </c>
      <c r="T38" s="836">
        <f t="shared" si="38"/>
        <v>184.60111341660013</v>
      </c>
      <c r="U38" s="732">
        <f t="shared" si="39"/>
        <v>648.5688137605357</v>
      </c>
      <c r="V38" s="732">
        <f t="shared" si="40"/>
        <v>1283.4694557724806</v>
      </c>
      <c r="W38" s="732">
        <f t="shared" si="41"/>
        <v>181.4633980609633</v>
      </c>
      <c r="X38" s="733">
        <f t="shared" si="42"/>
        <v>-868.05158547833707</v>
      </c>
      <c r="Y38" s="734">
        <f ca="1">IF(AND(Y$22=TRUE,INDEX(CDRANGE_CLS3,MATCH($A38,$A$24:$A$67,0),MATCH(Y$20,$B$20:$G$20,0))&lt;$D$6/OPDAYS_Cls3),86,payback(C38,T38,disc_rate/12,85))</f>
        <v>5</v>
      </c>
      <c r="Z38" s="735">
        <f ca="1">IF(AND(Z$22=TRUE,INDEX(CDRANGE_CLS3,MATCH($A38,$A$24:$A$67,0),MATCH(Z$20,$B$20:$G$20,0))&lt;$D$6/OPDAYS_Cls3),86,payback(D38,U38,disc_rate/12,85))</f>
        <v>3</v>
      </c>
      <c r="AA38" s="735">
        <f ca="1">IF(AND(AA$22=TRUE,INDEX(CDRANGE_CLS3,MATCH($A38,$A$24:$A$67,0),MATCH(AA$20,$B$20:$G$20,0))&lt;$D$6/OPDAYS_Cls3),86,payback(E38,V38,disc_rate/12,85))</f>
        <v>11</v>
      </c>
      <c r="AB38" s="735">
        <f ca="1">IF(AND(AB$22=TRUE,INDEX(CDRANGE_CLS3,MATCH($A38,$A$24:$A$67,0),MATCH(AB$20,$B$20:$G$20,0))&lt;$D$6/OPDAYS_Cls3),86,payback(F38,W38,disc_rate/12,85))</f>
        <v>86</v>
      </c>
      <c r="AC38" s="998">
        <f>IF(AND(AC$22=TRUE,INDEX(CDRANGE_CLS3,MATCH($A38,$A$24:$A$67,0),MATCH(AC$20,$B$20:$G$20,0))&lt;$D$6/OPDAYS_Cls3),86,payback(G38,X38,disc_rate/12,85))</f>
        <v>86</v>
      </c>
      <c r="AD38" s="737">
        <f t="shared" si="43"/>
        <v>0</v>
      </c>
      <c r="AE38" s="738">
        <f t="shared" si="44"/>
        <v>0</v>
      </c>
      <c r="AF38" s="738">
        <f t="shared" si="45"/>
        <v>0</v>
      </c>
      <c r="AG38" s="738">
        <f t="shared" si="46"/>
        <v>0</v>
      </c>
      <c r="AH38" s="739">
        <f t="shared" si="47"/>
        <v>0</v>
      </c>
      <c r="AI38" s="740">
        <f t="shared" si="48"/>
        <v>0</v>
      </c>
      <c r="AJ38" s="741">
        <f t="shared" si="49"/>
        <v>0</v>
      </c>
      <c r="AK38" s="741">
        <f t="shared" si="50"/>
        <v>0</v>
      </c>
      <c r="AL38" s="741">
        <f t="shared" si="51"/>
        <v>0</v>
      </c>
      <c r="AM38" s="742">
        <f t="shared" si="52"/>
        <v>0</v>
      </c>
      <c r="AN38" s="743">
        <f t="shared" si="65"/>
        <v>0.99979164935910014</v>
      </c>
      <c r="AO38" s="741">
        <f t="shared" si="53"/>
        <v>0.99918112428902428</v>
      </c>
      <c r="AP38" s="741">
        <f t="shared" si="53"/>
        <v>0.9505665499546565</v>
      </c>
      <c r="AQ38" s="741">
        <f t="shared" si="53"/>
        <v>2.1749333004703608E-3</v>
      </c>
      <c r="AR38" s="742">
        <f t="shared" si="53"/>
        <v>4.7086958776532128E-9</v>
      </c>
      <c r="AS38" s="737">
        <f t="shared" ca="1" si="54"/>
        <v>0</v>
      </c>
      <c r="AT38" s="738">
        <f t="shared" ca="1" si="55"/>
        <v>0</v>
      </c>
      <c r="AU38" s="738">
        <f t="shared" ca="1" si="56"/>
        <v>0</v>
      </c>
      <c r="AV38" s="738">
        <f t="shared" ca="1" si="57"/>
        <v>0</v>
      </c>
      <c r="AW38" s="739">
        <f t="shared" si="58"/>
        <v>0</v>
      </c>
      <c r="AX38" s="737">
        <f t="shared" ca="1" si="59"/>
        <v>0</v>
      </c>
      <c r="AY38" s="738">
        <f t="shared" ca="1" si="59"/>
        <v>0</v>
      </c>
      <c r="AZ38" s="738">
        <f t="shared" ca="1" si="59"/>
        <v>0</v>
      </c>
      <c r="BA38" s="738">
        <f t="shared" ca="1" si="59"/>
        <v>0</v>
      </c>
      <c r="BB38" s="739">
        <f t="shared" si="59"/>
        <v>0</v>
      </c>
      <c r="BC38" s="737">
        <f t="shared" ca="1" si="66"/>
        <v>1</v>
      </c>
      <c r="BD38" s="738">
        <f t="shared" ca="1" si="60"/>
        <v>0</v>
      </c>
      <c r="BE38" s="738">
        <f t="shared" ca="1" si="61"/>
        <v>0</v>
      </c>
      <c r="BF38" s="738">
        <f t="shared" ca="1" si="62"/>
        <v>0</v>
      </c>
      <c r="BG38" s="738">
        <f t="shared" ca="1" si="63"/>
        <v>0</v>
      </c>
      <c r="BH38" s="739">
        <f t="shared" ca="1" si="64"/>
        <v>0</v>
      </c>
    </row>
    <row r="39" spans="1:62" x14ac:dyDescent="0.2">
      <c r="A39" s="335">
        <v>2022</v>
      </c>
      <c r="B39" s="925">
        <f t="shared" si="67"/>
        <v>97308.25</v>
      </c>
      <c r="C39" s="926">
        <f t="shared" si="67"/>
        <v>1680.93</v>
      </c>
      <c r="D39" s="926">
        <f t="shared" si="67"/>
        <v>2360.5500000000002</v>
      </c>
      <c r="E39" s="926">
        <f t="shared" si="67"/>
        <v>12471.33</v>
      </c>
      <c r="F39" s="926">
        <f t="shared" si="67"/>
        <v>122356.24</v>
      </c>
      <c r="G39" s="927">
        <f t="shared" si="67"/>
        <v>215138.06</v>
      </c>
      <c r="H39" s="886">
        <f t="shared" si="68"/>
        <v>1</v>
      </c>
      <c r="I39" s="887">
        <f t="shared" si="68"/>
        <v>1</v>
      </c>
      <c r="J39" s="887">
        <f t="shared" si="68"/>
        <v>1</v>
      </c>
      <c r="K39" s="887">
        <f t="shared" si="68"/>
        <v>1</v>
      </c>
      <c r="L39" s="887">
        <f t="shared" si="68"/>
        <v>0.83028799973693701</v>
      </c>
      <c r="M39" s="888">
        <f t="shared" si="68"/>
        <v>1</v>
      </c>
      <c r="N39" s="833">
        <f t="shared" si="32"/>
        <v>8977.6210228903983</v>
      </c>
      <c r="O39" s="294">
        <f t="shared" si="33"/>
        <v>8630.1757045418235</v>
      </c>
      <c r="P39" s="294">
        <f t="shared" si="34"/>
        <v>8181.9425491552074</v>
      </c>
      <c r="Q39" s="294">
        <f t="shared" si="35"/>
        <v>7585.2371873890124</v>
      </c>
      <c r="R39" s="294">
        <f t="shared" si="36"/>
        <v>8579.2690221669982</v>
      </c>
      <c r="S39" s="296">
        <f t="shared" si="37"/>
        <v>9920.8746471131453</v>
      </c>
      <c r="T39" s="834">
        <f t="shared" si="38"/>
        <v>347.4453183485748</v>
      </c>
      <c r="U39" s="308">
        <f t="shared" si="39"/>
        <v>795.67847373519089</v>
      </c>
      <c r="V39" s="308">
        <f t="shared" si="40"/>
        <v>1392.3838355013859</v>
      </c>
      <c r="W39" s="308">
        <f t="shared" si="41"/>
        <v>398.35200072340012</v>
      </c>
      <c r="X39" s="309">
        <f t="shared" si="42"/>
        <v>-943.25362422274702</v>
      </c>
      <c r="Y39" s="297">
        <f ca="1">IF(AND(Y$22=TRUE,INDEX(CDRANGE_CLS3,MATCH($A39,$A$24:$A$67,0),MATCH(Y$20,$B$20:$G$20,0))&lt;$D$6/OPDAYS_Cls3),86,payback(C39,T39,disc_rate/12,85))</f>
        <v>5</v>
      </c>
      <c r="Z39" s="298">
        <f ca="1">IF(AND(Z$22=TRUE,INDEX(CDRANGE_CLS3,MATCH($A39,$A$24:$A$67,0),MATCH(Z$20,$B$20:$G$20,0))&lt;$D$6/OPDAYS_Cls3),86,payback(D39,U39,disc_rate/12,85))</f>
        <v>4</v>
      </c>
      <c r="AA39" s="298">
        <f ca="1">IF(AND(AA$22=TRUE,INDEX(CDRANGE_CLS3,MATCH($A39,$A$24:$A$67,0),MATCH(AA$20,$B$20:$G$20,0))&lt;$D$6/OPDAYS_Cls3),86,payback(E39,V39,disc_rate/12,85))</f>
        <v>10</v>
      </c>
      <c r="AB39" s="298">
        <f ca="1">IF(AND(AB$22=TRUE,INDEX(CDRANGE_CLS3,MATCH($A39,$A$24:$A$67,0),MATCH(AB$20,$B$20:$G$20,0))&lt;$D$6/OPDAYS_Cls3),86,payback(F39,W39,disc_rate/12,85))</f>
        <v>86</v>
      </c>
      <c r="AC39" s="299">
        <f>IF(AND(AC$22=TRUE,INDEX(CDRANGE_CLS3,MATCH($A39,$A$24:$A$67,0),MATCH(AC$20,$B$20:$G$20,0))&lt;$D$6/OPDAYS_Cls3),86,payback(G39,X39,disc_rate/12,85))</f>
        <v>86</v>
      </c>
      <c r="AD39" s="314">
        <f t="shared" si="43"/>
        <v>2.366967101585294E-2</v>
      </c>
      <c r="AE39" s="315">
        <f t="shared" si="44"/>
        <v>2.3294162642873449E-2</v>
      </c>
      <c r="AF39" s="315">
        <f t="shared" si="45"/>
        <v>0</v>
      </c>
      <c r="AG39" s="315">
        <f t="shared" si="46"/>
        <v>0</v>
      </c>
      <c r="AH39" s="316">
        <f t="shared" si="47"/>
        <v>0</v>
      </c>
      <c r="AI39" s="695">
        <f t="shared" si="48"/>
        <v>2.3712936588783391E-2</v>
      </c>
      <c r="AJ39" s="318">
        <f t="shared" si="49"/>
        <v>2.3712936588783391E-2</v>
      </c>
      <c r="AK39" s="318">
        <f t="shared" si="50"/>
        <v>2.3712936588783391E-2</v>
      </c>
      <c r="AL39" s="318">
        <f t="shared" si="51"/>
        <v>2.3712936588783391E-2</v>
      </c>
      <c r="AM39" s="698">
        <f t="shared" si="52"/>
        <v>2.2210437480177938E-3</v>
      </c>
      <c r="AN39" s="317">
        <f t="shared" si="65"/>
        <v>0.99917145242177974</v>
      </c>
      <c r="AO39" s="318">
        <f t="shared" si="53"/>
        <v>0.99836668605026657</v>
      </c>
      <c r="AP39" s="318">
        <f t="shared" si="53"/>
        <v>0.95539807837673862</v>
      </c>
      <c r="AQ39" s="318">
        <f t="shared" si="53"/>
        <v>1.2377443408556288E-2</v>
      </c>
      <c r="AR39" s="698">
        <f t="shared" si="53"/>
        <v>1.2682126194762944E-6</v>
      </c>
      <c r="AS39" s="314">
        <f t="shared" ca="1" si="54"/>
        <v>4.7425873177566781E-2</v>
      </c>
      <c r="AT39" s="315">
        <f t="shared" ca="1" si="55"/>
        <v>4.7425873177566781E-2</v>
      </c>
      <c r="AU39" s="315">
        <f t="shared" ca="1" si="56"/>
        <v>4.5577710229944134E-2</v>
      </c>
      <c r="AV39" s="315">
        <f t="shared" ca="1" si="57"/>
        <v>0</v>
      </c>
      <c r="AW39" s="316">
        <f t="shared" si="58"/>
        <v>0</v>
      </c>
      <c r="AX39" s="314">
        <f t="shared" ca="1" si="59"/>
        <v>4.7386578585200526E-2</v>
      </c>
      <c r="AY39" s="315">
        <f t="shared" ca="1" si="59"/>
        <v>4.7348411837327575E-2</v>
      </c>
      <c r="AZ39" s="315">
        <f t="shared" ca="1" si="59"/>
        <v>4.3544856770500448E-2</v>
      </c>
      <c r="BA39" s="315">
        <f t="shared" ca="1" si="59"/>
        <v>0</v>
      </c>
      <c r="BB39" s="316">
        <f t="shared" si="59"/>
        <v>0</v>
      </c>
      <c r="BC39" s="314">
        <f t="shared" ca="1" si="66"/>
        <v>0.95261342141479943</v>
      </c>
      <c r="BD39" s="315">
        <f t="shared" ca="1" si="60"/>
        <v>1.6238720794049248E-2</v>
      </c>
      <c r="BE39" s="315">
        <f t="shared" ca="1" si="61"/>
        <v>1.6225641580887417E-2</v>
      </c>
      <c r="BF39" s="315">
        <f t="shared" ca="1" si="62"/>
        <v>1.4922216210263864E-2</v>
      </c>
      <c r="BG39" s="315">
        <f t="shared" ca="1" si="63"/>
        <v>0</v>
      </c>
      <c r="BH39" s="316">
        <f t="shared" ca="1" si="64"/>
        <v>0</v>
      </c>
    </row>
    <row r="40" spans="1:62" x14ac:dyDescent="0.2">
      <c r="A40" s="335">
        <v>2023</v>
      </c>
      <c r="B40" s="925">
        <f t="shared" si="67"/>
        <v>97576.48</v>
      </c>
      <c r="C40" s="926">
        <f t="shared" si="67"/>
        <v>2521.4</v>
      </c>
      <c r="D40" s="926">
        <f t="shared" si="67"/>
        <v>3054.62</v>
      </c>
      <c r="E40" s="926">
        <f t="shared" si="67"/>
        <v>11832.93</v>
      </c>
      <c r="F40" s="926">
        <f t="shared" si="67"/>
        <v>100547.69</v>
      </c>
      <c r="G40" s="927">
        <f t="shared" si="67"/>
        <v>175325.02</v>
      </c>
      <c r="H40" s="886">
        <f t="shared" si="68"/>
        <v>1</v>
      </c>
      <c r="I40" s="887">
        <f t="shared" si="68"/>
        <v>1</v>
      </c>
      <c r="J40" s="887">
        <f t="shared" si="68"/>
        <v>1</v>
      </c>
      <c r="K40" s="887">
        <f t="shared" si="68"/>
        <v>1</v>
      </c>
      <c r="L40" s="887">
        <f t="shared" si="68"/>
        <v>0.83080131839687532</v>
      </c>
      <c r="M40" s="888">
        <f t="shared" si="68"/>
        <v>1</v>
      </c>
      <c r="N40" s="833">
        <f t="shared" si="32"/>
        <v>8895.5918893897106</v>
      </c>
      <c r="O40" s="294">
        <f t="shared" si="33"/>
        <v>8394.5756844839798</v>
      </c>
      <c r="P40" s="294">
        <f t="shared" si="34"/>
        <v>7952.7498644146563</v>
      </c>
      <c r="Q40" s="294">
        <f t="shared" si="35"/>
        <v>7379.5800016842904</v>
      </c>
      <c r="R40" s="294">
        <f t="shared" si="36"/>
        <v>8266.8252336271398</v>
      </c>
      <c r="S40" s="296">
        <f t="shared" si="37"/>
        <v>9719.439941502349</v>
      </c>
      <c r="T40" s="834">
        <f t="shared" si="38"/>
        <v>501.01620490573077</v>
      </c>
      <c r="U40" s="308">
        <f t="shared" si="39"/>
        <v>942.8420249750543</v>
      </c>
      <c r="V40" s="308">
        <f t="shared" si="40"/>
        <v>1516.0118877054201</v>
      </c>
      <c r="W40" s="308">
        <f t="shared" si="41"/>
        <v>628.76665576257074</v>
      </c>
      <c r="X40" s="309">
        <f t="shared" si="42"/>
        <v>-823.84805211263847</v>
      </c>
      <c r="Y40" s="297">
        <f ca="1">IF(AND(Y$22=TRUE,INDEX(CDRANGE_CLS3,MATCH($A40,$A$24:$A$67,0),MATCH(Y$20,$B$20:$G$20,0))&lt;$D$6/OPDAYS_Cls3),86,payback(C40,T40,disc_rate/12,85))</f>
        <v>6</v>
      </c>
      <c r="Z40" s="298">
        <f ca="1">IF(AND(Z$22=TRUE,INDEX(CDRANGE_CLS3,MATCH($A40,$A$24:$A$67,0),MATCH(Z$20,$B$20:$G$20,0))&lt;$D$6/OPDAYS_Cls3),86,payback(D40,U40,disc_rate/12,85))</f>
        <v>4</v>
      </c>
      <c r="AA40" s="298">
        <f ca="1">IF(AND(AA$22=TRUE,INDEX(CDRANGE_CLS3,MATCH($A40,$A$24:$A$67,0),MATCH(AA$20,$B$20:$G$20,0))&lt;$D$6/OPDAYS_Cls3),86,payback(E40,V40,disc_rate/12,85))</f>
        <v>9</v>
      </c>
      <c r="AB40" s="298">
        <f ca="1">IF(AND(AB$22=TRUE,INDEX(CDRANGE_CLS3,MATCH($A40,$A$24:$A$67,0),MATCH(AB$20,$B$20:$G$20,0))&lt;$D$6/OPDAYS_Cls3),86,payback(F40,W40,disc_rate/12,85))</f>
        <v>86</v>
      </c>
      <c r="AC40" s="299">
        <f>IF(AND(AC$22=TRUE,INDEX(CDRANGE_CLS3,MATCH($A40,$A$24:$A$67,0),MATCH(AC$20,$B$20:$G$20,0))&lt;$D$6/OPDAYS_Cls3),86,payback(G40,X40,disc_rate/12,85))</f>
        <v>86</v>
      </c>
      <c r="AD40" s="314">
        <f t="shared" si="43"/>
        <v>5.7421981581262285E-2</v>
      </c>
      <c r="AE40" s="315">
        <f t="shared" si="44"/>
        <v>5.2153755937242023E-2</v>
      </c>
      <c r="AF40" s="315">
        <f t="shared" si="45"/>
        <v>0</v>
      </c>
      <c r="AG40" s="315">
        <f t="shared" si="46"/>
        <v>0</v>
      </c>
      <c r="AH40" s="316">
        <f t="shared" si="47"/>
        <v>0</v>
      </c>
      <c r="AI40" s="695">
        <f t="shared" si="48"/>
        <v>5.9601461011058773E-2</v>
      </c>
      <c r="AJ40" s="318">
        <f t="shared" si="49"/>
        <v>5.9601461011058773E-2</v>
      </c>
      <c r="AK40" s="318">
        <f t="shared" si="50"/>
        <v>5.9601461011058773E-2</v>
      </c>
      <c r="AL40" s="318">
        <f t="shared" si="51"/>
        <v>5.9601461011058773E-2</v>
      </c>
      <c r="AM40" s="698">
        <f t="shared" si="52"/>
        <v>7.2447519254021419E-3</v>
      </c>
      <c r="AN40" s="317">
        <f t="shared" si="65"/>
        <v>0.99814694629877276</v>
      </c>
      <c r="AO40" s="318">
        <f t="shared" si="65"/>
        <v>0.99728149209316252</v>
      </c>
      <c r="AP40" s="318">
        <f t="shared" si="65"/>
        <v>0.95997313907164938</v>
      </c>
      <c r="AQ40" s="318">
        <f t="shared" si="65"/>
        <v>5.2364815675680743E-2</v>
      </c>
      <c r="AR40" s="698">
        <f t="shared" si="65"/>
        <v>1.2742436320301032E-4</v>
      </c>
      <c r="AS40" s="314">
        <f t="shared" ca="1" si="54"/>
        <v>0.11920292202211755</v>
      </c>
      <c r="AT40" s="315">
        <f t="shared" ca="1" si="55"/>
        <v>0.11920292202211755</v>
      </c>
      <c r="AU40" s="315">
        <f t="shared" ca="1" si="56"/>
        <v>0.11641299809984668</v>
      </c>
      <c r="AV40" s="315">
        <f t="shared" ca="1" si="57"/>
        <v>0</v>
      </c>
      <c r="AW40" s="316">
        <f t="shared" si="58"/>
        <v>0</v>
      </c>
      <c r="AX40" s="314">
        <f t="shared" ca="1" si="59"/>
        <v>0.11898203260626736</v>
      </c>
      <c r="AY40" s="315">
        <f t="shared" ca="1" si="59"/>
        <v>0.11887886793608229</v>
      </c>
      <c r="AZ40" s="315">
        <f t="shared" ca="1" si="59"/>
        <v>0.11175335121465177</v>
      </c>
      <c r="BA40" s="315">
        <f t="shared" ca="1" si="59"/>
        <v>0</v>
      </c>
      <c r="BB40" s="316">
        <f t="shared" si="59"/>
        <v>0</v>
      </c>
      <c r="BC40" s="314">
        <f t="shared" ca="1" si="66"/>
        <v>0.88101796739373262</v>
      </c>
      <c r="BD40" s="315">
        <f t="shared" ca="1" si="60"/>
        <v>4.0492411313250661E-2</v>
      </c>
      <c r="BE40" s="315">
        <f t="shared" ca="1" si="61"/>
        <v>4.045730192600433E-2</v>
      </c>
      <c r="BF40" s="315">
        <f t="shared" ca="1" si="62"/>
        <v>3.8032319367012381E-2</v>
      </c>
      <c r="BG40" s="315">
        <f t="shared" ca="1" si="63"/>
        <v>0</v>
      </c>
      <c r="BH40" s="316">
        <f t="shared" ca="1" si="64"/>
        <v>0</v>
      </c>
    </row>
    <row r="41" spans="1:62" x14ac:dyDescent="0.2">
      <c r="A41" s="335">
        <v>2024</v>
      </c>
      <c r="B41" s="925">
        <f t="shared" si="67"/>
        <v>97844.7</v>
      </c>
      <c r="C41" s="926">
        <f t="shared" si="67"/>
        <v>3361.86</v>
      </c>
      <c r="D41" s="926">
        <f t="shared" si="67"/>
        <v>3748.7</v>
      </c>
      <c r="E41" s="926">
        <f t="shared" si="67"/>
        <v>11194.53</v>
      </c>
      <c r="F41" s="926">
        <f t="shared" si="67"/>
        <v>78739.13</v>
      </c>
      <c r="G41" s="927">
        <f t="shared" si="67"/>
        <v>135511.98000000001</v>
      </c>
      <c r="H41" s="886">
        <f t="shared" si="68"/>
        <v>1</v>
      </c>
      <c r="I41" s="887">
        <f t="shared" si="68"/>
        <v>1</v>
      </c>
      <c r="J41" s="887">
        <f t="shared" si="68"/>
        <v>1</v>
      </c>
      <c r="K41" s="887">
        <f t="shared" si="68"/>
        <v>1</v>
      </c>
      <c r="L41" s="887">
        <f t="shared" si="68"/>
        <v>0.83131463705681374</v>
      </c>
      <c r="M41" s="888">
        <f t="shared" si="68"/>
        <v>1</v>
      </c>
      <c r="N41" s="833">
        <f t="shared" si="32"/>
        <v>8894.8032313172826</v>
      </c>
      <c r="O41" s="294">
        <f t="shared" si="33"/>
        <v>8246.1712455626512</v>
      </c>
      <c r="P41" s="294">
        <f t="shared" si="34"/>
        <v>7806.7692040614011</v>
      </c>
      <c r="Q41" s="294">
        <f t="shared" si="35"/>
        <v>7250.4306603691502</v>
      </c>
      <c r="R41" s="294">
        <f t="shared" si="36"/>
        <v>8027.1801796708114</v>
      </c>
      <c r="S41" s="296">
        <f t="shared" si="37"/>
        <v>9468.1610628339076</v>
      </c>
      <c r="T41" s="834">
        <f t="shared" si="38"/>
        <v>648.63198575463139</v>
      </c>
      <c r="U41" s="308">
        <f t="shared" si="39"/>
        <v>1088.0340272558815</v>
      </c>
      <c r="V41" s="308">
        <f t="shared" si="40"/>
        <v>1644.3725709481323</v>
      </c>
      <c r="W41" s="308">
        <f t="shared" si="41"/>
        <v>867.62305164647114</v>
      </c>
      <c r="X41" s="309">
        <f t="shared" si="42"/>
        <v>-573.35783151662508</v>
      </c>
      <c r="Y41" s="297">
        <f ca="1">IF(AND(Y$22=TRUE,INDEX(CDRANGE_CLS3,MATCH($A41,$A$24:$A$67,0),MATCH(Y$20,$B$20:$G$20,0))&lt;$D$6/OPDAYS_Cls3),86,payback(C41,T41,disc_rate/12,85))</f>
        <v>6</v>
      </c>
      <c r="Z41" s="298">
        <f ca="1">IF(AND(Z$22=TRUE,INDEX(CDRANGE_CLS3,MATCH($A41,$A$24:$A$67,0),MATCH(Z$20,$B$20:$G$20,0))&lt;$D$6/OPDAYS_Cls3),86,payback(D41,U41,disc_rate/12,85))</f>
        <v>4</v>
      </c>
      <c r="AA41" s="298">
        <f ca="1">IF(AND(AA$22=TRUE,INDEX(CDRANGE_CLS3,MATCH($A41,$A$24:$A$67,0),MATCH(AA$20,$B$20:$G$20,0))&lt;$D$6/OPDAYS_Cls3),86,payback(E41,V41,disc_rate/12,85))</f>
        <v>7</v>
      </c>
      <c r="AB41" s="298">
        <f ca="1">IF(AND(AB$22=TRUE,INDEX(CDRANGE_CLS3,MATCH($A41,$A$24:$A$67,0),MATCH(AB$20,$B$20:$G$20,0))&lt;$D$6/OPDAYS_Cls3),86,payback(F41,W41,disc_rate/12,85))</f>
        <v>86</v>
      </c>
      <c r="AC41" s="299">
        <f>IF(AND(AC$22=TRUE,INDEX(CDRANGE_CLS3,MATCH($A41,$A$24:$A$67,0),MATCH(AC$20,$B$20:$G$20,0))&lt;$D$6/OPDAYS_Cls3),86,payback(G41,X41,disc_rate/12,85))</f>
        <v>86</v>
      </c>
      <c r="AD41" s="314">
        <f t="shared" si="43"/>
        <v>0.10644090721024145</v>
      </c>
      <c r="AE41" s="315">
        <f t="shared" si="44"/>
        <v>8.139460029835871E-2</v>
      </c>
      <c r="AF41" s="315">
        <f t="shared" si="45"/>
        <v>0</v>
      </c>
      <c r="AG41" s="315">
        <f t="shared" si="46"/>
        <v>0</v>
      </c>
      <c r="AH41" s="316">
        <f t="shared" si="47"/>
        <v>0</v>
      </c>
      <c r="AI41" s="695">
        <f t="shared" si="48"/>
        <v>0.13447071068499755</v>
      </c>
      <c r="AJ41" s="318">
        <f t="shared" si="49"/>
        <v>0.13447071068499755</v>
      </c>
      <c r="AK41" s="318">
        <f t="shared" si="50"/>
        <v>0.13447071068499755</v>
      </c>
      <c r="AL41" s="318">
        <f t="shared" si="51"/>
        <v>0.13447071068499755</v>
      </c>
      <c r="AM41" s="698">
        <f t="shared" si="52"/>
        <v>2.0769477016536548E-2</v>
      </c>
      <c r="AN41" s="317">
        <f t="shared" si="65"/>
        <v>0.99672606361083194</v>
      </c>
      <c r="AO41" s="318">
        <f t="shared" si="65"/>
        <v>0.99593089250965161</v>
      </c>
      <c r="AP41" s="318">
        <f t="shared" si="65"/>
        <v>0.96429221825890521</v>
      </c>
      <c r="AQ41" s="318">
        <f t="shared" si="65"/>
        <v>0.16548281219972216</v>
      </c>
      <c r="AR41" s="698">
        <f t="shared" si="65"/>
        <v>4.8529310990125252E-3</v>
      </c>
      <c r="AS41" s="314">
        <f t="shared" ca="1" si="54"/>
        <v>0.2689414213699951</v>
      </c>
      <c r="AT41" s="315">
        <f t="shared" ca="1" si="55"/>
        <v>0.2689414213699951</v>
      </c>
      <c r="AU41" s="315">
        <f t="shared" ca="1" si="56"/>
        <v>0.26806125285562332</v>
      </c>
      <c r="AV41" s="315">
        <f t="shared" ca="1" si="57"/>
        <v>0</v>
      </c>
      <c r="AW41" s="316">
        <f t="shared" si="58"/>
        <v>0</v>
      </c>
      <c r="AX41" s="314">
        <f t="shared" ca="1" si="59"/>
        <v>0.26806092426401729</v>
      </c>
      <c r="AY41" s="315">
        <f t="shared" ca="1" si="59"/>
        <v>0.26784706981783352</v>
      </c>
      <c r="AZ41" s="315">
        <f t="shared" ca="1" si="59"/>
        <v>0.25848938014541029</v>
      </c>
      <c r="BA41" s="315">
        <f t="shared" ca="1" si="59"/>
        <v>0</v>
      </c>
      <c r="BB41" s="316">
        <f t="shared" si="59"/>
        <v>0</v>
      </c>
      <c r="BC41" s="314">
        <f t="shared" ca="1" si="66"/>
        <v>0.73193907573598271</v>
      </c>
      <c r="BD41" s="315">
        <f t="shared" ca="1" si="60"/>
        <v>9.0454300893399564E-2</v>
      </c>
      <c r="BE41" s="315">
        <f t="shared" ca="1" si="61"/>
        <v>9.0382137990598244E-2</v>
      </c>
      <c r="BF41" s="315">
        <f t="shared" ca="1" si="62"/>
        <v>8.7224485380019479E-2</v>
      </c>
      <c r="BG41" s="315">
        <f t="shared" ca="1" si="63"/>
        <v>0</v>
      </c>
      <c r="BH41" s="316">
        <f t="shared" ca="1" si="64"/>
        <v>0</v>
      </c>
    </row>
    <row r="42" spans="1:62" ht="13.5" thickBot="1" x14ac:dyDescent="0.25">
      <c r="A42" s="320">
        <v>2025</v>
      </c>
      <c r="B42" s="928">
        <f t="shared" si="67"/>
        <v>98112.92</v>
      </c>
      <c r="C42" s="929">
        <f t="shared" si="67"/>
        <v>4202.33</v>
      </c>
      <c r="D42" s="929">
        <f t="shared" si="67"/>
        <v>4442.7700000000004</v>
      </c>
      <c r="E42" s="929">
        <f t="shared" si="67"/>
        <v>10556.13</v>
      </c>
      <c r="F42" s="929">
        <f t="shared" si="67"/>
        <v>56930.58</v>
      </c>
      <c r="G42" s="930">
        <f t="shared" si="67"/>
        <v>95698.95</v>
      </c>
      <c r="H42" s="886">
        <f t="shared" si="68"/>
        <v>1</v>
      </c>
      <c r="I42" s="887">
        <f t="shared" si="68"/>
        <v>1</v>
      </c>
      <c r="J42" s="887">
        <f t="shared" si="68"/>
        <v>1</v>
      </c>
      <c r="K42" s="887">
        <f t="shared" si="68"/>
        <v>1</v>
      </c>
      <c r="L42" s="887">
        <f t="shared" si="68"/>
        <v>0.83182795571675217</v>
      </c>
      <c r="M42" s="888">
        <f t="shared" si="68"/>
        <v>1</v>
      </c>
      <c r="N42" s="989">
        <f t="shared" si="32"/>
        <v>8859.5437191881865</v>
      </c>
      <c r="O42" s="884">
        <f t="shared" si="33"/>
        <v>8074.6811658043252</v>
      </c>
      <c r="P42" s="884">
        <f t="shared" si="34"/>
        <v>7639.4454113144611</v>
      </c>
      <c r="Q42" s="884">
        <f t="shared" si="35"/>
        <v>7100.8606337001484</v>
      </c>
      <c r="R42" s="884">
        <f t="shared" si="36"/>
        <v>7785.5915604283928</v>
      </c>
      <c r="S42" s="885">
        <f t="shared" si="37"/>
        <v>9260.1260250094183</v>
      </c>
      <c r="T42" s="837">
        <f t="shared" si="38"/>
        <v>784.86255338386127</v>
      </c>
      <c r="U42" s="322">
        <f t="shared" si="39"/>
        <v>1220.0983078737254</v>
      </c>
      <c r="V42" s="322">
        <f t="shared" si="40"/>
        <v>1758.6830854880382</v>
      </c>
      <c r="W42" s="322">
        <f t="shared" si="41"/>
        <v>1073.9521587597937</v>
      </c>
      <c r="X42" s="323">
        <f t="shared" si="42"/>
        <v>-400.58230582123178</v>
      </c>
      <c r="Y42" s="994">
        <f ca="1">IF(AND(Y$22=TRUE,INDEX(CDRANGE_CLS3,MATCH($A42,$A$24:$A$67,0),MATCH(Y$20,$B$20:$G$20,0))&lt;$D$6/OPDAYS_Cls3),86,payback(C42,T42,disc_rate/12,85))</f>
        <v>6</v>
      </c>
      <c r="Z42" s="995">
        <f ca="1">IF(AND(Z$22=TRUE,INDEX(CDRANGE_CLS3,MATCH($A42,$A$24:$A$67,0),MATCH(Z$20,$B$20:$G$20,0))&lt;$D$6/OPDAYS_Cls3),86,payback(D42,U42,disc_rate/12,85))</f>
        <v>4</v>
      </c>
      <c r="AA42" s="995">
        <f ca="1">IF(AND(AA$22=TRUE,INDEX(CDRANGE_CLS3,MATCH($A42,$A$24:$A$67,0),MATCH(AA$20,$B$20:$G$20,0))&lt;$D$6/OPDAYS_Cls3),86,payback(E42,V42,disc_rate/12,85))</f>
        <v>7</v>
      </c>
      <c r="AB42" s="995">
        <f ca="1">IF(AND(AB$22=TRUE,INDEX(CDRANGE_CLS3,MATCH($A42,$A$24:$A$67,0),MATCH(AB$20,$B$20:$G$20,0))&lt;$D$6/OPDAYS_Cls3),86,payback(F42,W42,disc_rate/12,85))</f>
        <v>65</v>
      </c>
      <c r="AC42" s="996">
        <f>IF(AND(AC$22=TRUE,INDEX(CDRANGE_CLS3,MATCH($A42,$A$24:$A$67,0),MATCH(AC$20,$B$20:$G$20,0))&lt;$D$6/OPDAYS_Cls3),86,payback(G42,X42,disc_rate/12,85))</f>
        <v>86</v>
      </c>
      <c r="AD42" s="328">
        <f t="shared" si="43"/>
        <v>7.232001902347085E-2</v>
      </c>
      <c r="AE42" s="329">
        <f t="shared" si="44"/>
        <v>3.8433940250417631E-2</v>
      </c>
      <c r="AF42" s="329">
        <f t="shared" si="45"/>
        <v>0</v>
      </c>
      <c r="AG42" s="329">
        <f t="shared" si="46"/>
        <v>0</v>
      </c>
      <c r="AH42" s="330">
        <f t="shared" si="47"/>
        <v>0</v>
      </c>
      <c r="AI42" s="696">
        <f t="shared" si="48"/>
        <v>0.25</v>
      </c>
      <c r="AJ42" s="332">
        <f t="shared" si="49"/>
        <v>0.25</v>
      </c>
      <c r="AK42" s="332">
        <f t="shared" si="50"/>
        <v>0.25</v>
      </c>
      <c r="AL42" s="332">
        <f t="shared" si="51"/>
        <v>0.25</v>
      </c>
      <c r="AM42" s="699">
        <f t="shared" si="52"/>
        <v>5.3362699446636339E-2</v>
      </c>
      <c r="AN42" s="331">
        <f t="shared" si="65"/>
        <v>0.99491700945492711</v>
      </c>
      <c r="AO42" s="332">
        <f t="shared" si="65"/>
        <v>0.99432041604728905</v>
      </c>
      <c r="AP42" s="332">
        <f t="shared" si="65"/>
        <v>0.96835604193894842</v>
      </c>
      <c r="AQ42" s="332">
        <f t="shared" si="65"/>
        <v>0.39248046527095071</v>
      </c>
      <c r="AR42" s="699">
        <f t="shared" si="65"/>
        <v>7.1163840247083332E-2</v>
      </c>
      <c r="AS42" s="328">
        <f t="shared" ca="1" si="54"/>
        <v>0.5</v>
      </c>
      <c r="AT42" s="329">
        <f t="shared" ca="1" si="55"/>
        <v>0.5</v>
      </c>
      <c r="AU42" s="329">
        <f t="shared" ca="1" si="56"/>
        <v>0.49836364270351485</v>
      </c>
      <c r="AV42" s="329">
        <f t="shared" ca="1" si="57"/>
        <v>3.2098121811687252E-3</v>
      </c>
      <c r="AW42" s="330">
        <f t="shared" si="58"/>
        <v>0</v>
      </c>
      <c r="AX42" s="328">
        <f t="shared" ca="1" si="59"/>
        <v>0.49745850472746356</v>
      </c>
      <c r="AY42" s="329">
        <f t="shared" ca="1" si="59"/>
        <v>0.49716020802364452</v>
      </c>
      <c r="AZ42" s="329">
        <f t="shared" ca="1" si="59"/>
        <v>0.48259344449465191</v>
      </c>
      <c r="BA42" s="329">
        <f t="shared" ca="1" si="59"/>
        <v>1.2597885782974663E-3</v>
      </c>
      <c r="BB42" s="330">
        <f t="shared" si="59"/>
        <v>0</v>
      </c>
      <c r="BC42" s="328">
        <f t="shared" ca="1" si="66"/>
        <v>0.50254149527253644</v>
      </c>
      <c r="BD42" s="329">
        <f t="shared" ca="1" si="60"/>
        <v>0.1673788702076143</v>
      </c>
      <c r="BE42" s="329">
        <f t="shared" ca="1" si="61"/>
        <v>0.16727850291105104</v>
      </c>
      <c r="BF42" s="329">
        <f t="shared" ca="1" si="62"/>
        <v>0.16237725306027195</v>
      </c>
      <c r="BG42" s="329">
        <f t="shared" ca="1" si="63"/>
        <v>4.2387854852619092E-4</v>
      </c>
      <c r="BH42" s="330">
        <f t="shared" ca="1" si="64"/>
        <v>0</v>
      </c>
      <c r="BJ42" s="603"/>
    </row>
    <row r="43" spans="1:62" x14ac:dyDescent="0.2">
      <c r="A43" s="334">
        <v>2026</v>
      </c>
      <c r="B43" s="931">
        <f t="shared" si="67"/>
        <v>98535.26</v>
      </c>
      <c r="C43" s="932">
        <f t="shared" si="67"/>
        <v>4373.82</v>
      </c>
      <c r="D43" s="932">
        <f t="shared" si="67"/>
        <v>4579.01</v>
      </c>
      <c r="E43" s="932">
        <f t="shared" si="67"/>
        <v>10405.35</v>
      </c>
      <c r="F43" s="932">
        <f t="shared" si="67"/>
        <v>52011.72</v>
      </c>
      <c r="G43" s="933">
        <f t="shared" si="67"/>
        <v>86083.47</v>
      </c>
      <c r="H43" s="886">
        <f t="shared" si="68"/>
        <v>1</v>
      </c>
      <c r="I43" s="887">
        <f t="shared" si="68"/>
        <v>1</v>
      </c>
      <c r="J43" s="887">
        <f t="shared" si="68"/>
        <v>1</v>
      </c>
      <c r="K43" s="887">
        <f t="shared" si="68"/>
        <v>1</v>
      </c>
      <c r="L43" s="887">
        <f t="shared" si="68"/>
        <v>0.83110156731525731</v>
      </c>
      <c r="M43" s="888">
        <f t="shared" si="68"/>
        <v>1</v>
      </c>
      <c r="N43" s="833">
        <f t="shared" si="32"/>
        <v>8711.3636660610482</v>
      </c>
      <c r="O43" s="294">
        <f t="shared" si="33"/>
        <v>7810.6151653552706</v>
      </c>
      <c r="P43" s="294">
        <f t="shared" si="34"/>
        <v>7385.072697908995</v>
      </c>
      <c r="Q43" s="294">
        <f t="shared" si="35"/>
        <v>6869.750319445664</v>
      </c>
      <c r="R43" s="294">
        <f t="shared" si="36"/>
        <v>7474.657258281879</v>
      </c>
      <c r="S43" s="296">
        <f t="shared" si="37"/>
        <v>9002.1121690743948</v>
      </c>
      <c r="T43" s="833">
        <f t="shared" si="38"/>
        <v>900.74850070577759</v>
      </c>
      <c r="U43" s="294">
        <f t="shared" si="39"/>
        <v>1326.2909681520532</v>
      </c>
      <c r="V43" s="294">
        <f t="shared" si="40"/>
        <v>1841.6133466153842</v>
      </c>
      <c r="W43" s="294">
        <f t="shared" si="41"/>
        <v>1236.7064077791692</v>
      </c>
      <c r="X43" s="295">
        <f t="shared" si="42"/>
        <v>-290.74850301334664</v>
      </c>
      <c r="Y43" s="297">
        <f ca="1">IF(AND(Y$22=TRUE,INDEX(CDRANGE_CLS3,MATCH($A43,$A$24:$A$67,0),MATCH(Y$20,$B$20:$G$20,0))&lt;$D$6/OPDAYS_Cls3),86,payback(C43,T43,disc_rate/12,85))</f>
        <v>5</v>
      </c>
      <c r="Z43" s="298">
        <f ca="1">IF(AND(Z$22=TRUE,INDEX(CDRANGE_CLS3,MATCH($A43,$A$24:$A$67,0),MATCH(Z$20,$B$20:$G$20,0))&lt;$D$6/OPDAYS_Cls3),86,payback(D43,U43,disc_rate/12,85))</f>
        <v>4</v>
      </c>
      <c r="AA43" s="298">
        <f ca="1">IF(AND(AA$22=TRUE,INDEX(CDRANGE_CLS3,MATCH($A43,$A$24:$A$67,0),MATCH(AA$20,$B$20:$G$20,0))&lt;$D$6/OPDAYS_Cls3),86,payback(E43,V43,disc_rate/12,85))</f>
        <v>6</v>
      </c>
      <c r="AB43" s="298">
        <f ca="1">IF(AND(AB$22=TRUE,INDEX(CDRANGE_CLS3,MATCH($A43,$A$24:$A$67,0),MATCH(AB$20,$B$20:$G$20,0))&lt;$D$6/OPDAYS_Cls3),86,payback(F43,W43,disc_rate/12,85))</f>
        <v>49</v>
      </c>
      <c r="AC43" s="299">
        <f>IF(AND(AC$22=TRUE,INDEX(CDRANGE_CLS3,MATCH($A43,$A$24:$A$67,0),MATCH(AC$20,$B$20:$G$20,0))&lt;$D$6/OPDAYS_Cls3),86,payback(G43,X43,disc_rate/12,85))</f>
        <v>86</v>
      </c>
      <c r="AD43" s="300">
        <f t="shared" si="43"/>
        <v>7.9258584867423848E-2</v>
      </c>
      <c r="AE43" s="301">
        <f t="shared" si="44"/>
        <v>3.7361810203463269E-2</v>
      </c>
      <c r="AF43" s="301">
        <f t="shared" si="45"/>
        <v>0</v>
      </c>
      <c r="AG43" s="301">
        <f t="shared" si="46"/>
        <v>0</v>
      </c>
      <c r="AH43" s="302">
        <f t="shared" si="47"/>
        <v>0</v>
      </c>
      <c r="AI43" s="694">
        <f t="shared" si="48"/>
        <v>0.36552928931500245</v>
      </c>
      <c r="AJ43" s="304">
        <f t="shared" si="49"/>
        <v>0.36552928931500245</v>
      </c>
      <c r="AK43" s="304">
        <f t="shared" si="50"/>
        <v>0.36552928931500245</v>
      </c>
      <c r="AL43" s="304">
        <f t="shared" si="51"/>
        <v>0.36552928931500245</v>
      </c>
      <c r="AM43" s="711">
        <f t="shared" si="52"/>
        <v>9.4702178206308593E-2</v>
      </c>
      <c r="AN43" s="303">
        <f t="shared" si="65"/>
        <v>0.99454181760712912</v>
      </c>
      <c r="AO43" s="304">
        <f t="shared" si="65"/>
        <v>0.99401925344454278</v>
      </c>
      <c r="AP43" s="304">
        <f t="shared" si="65"/>
        <v>0.9694986875495305</v>
      </c>
      <c r="AQ43" s="304">
        <f t="shared" si="65"/>
        <v>0.46118473907214175</v>
      </c>
      <c r="AR43" s="711">
        <f t="shared" si="65"/>
        <v>0.12002117896152487</v>
      </c>
      <c r="AS43" s="300">
        <f t="shared" ca="1" si="54"/>
        <v>0.7310585786300049</v>
      </c>
      <c r="AT43" s="301">
        <f t="shared" ca="1" si="55"/>
        <v>0.7310585786300049</v>
      </c>
      <c r="AU43" s="301">
        <f t="shared" ca="1" si="56"/>
        <v>0.7310585786300049</v>
      </c>
      <c r="AV43" s="301">
        <f t="shared" ca="1" si="57"/>
        <v>4.2005663047350088E-2</v>
      </c>
      <c r="AW43" s="302">
        <f t="shared" si="58"/>
        <v>0</v>
      </c>
      <c r="AX43" s="300">
        <f t="shared" ca="1" si="59"/>
        <v>0.72706832756796935</v>
      </c>
      <c r="AY43" s="301">
        <f t="shared" ca="1" si="59"/>
        <v>0.726686302554026</v>
      </c>
      <c r="AZ43" s="301">
        <f t="shared" ca="1" si="59"/>
        <v>0.70876033250361503</v>
      </c>
      <c r="BA43" s="301">
        <f t="shared" ca="1" si="59"/>
        <v>1.9372370752044458E-2</v>
      </c>
      <c r="BB43" s="302">
        <f t="shared" si="59"/>
        <v>0</v>
      </c>
      <c r="BC43" s="300">
        <f t="shared" ca="1" si="66"/>
        <v>0.27293167243203054</v>
      </c>
      <c r="BD43" s="301">
        <f t="shared" ca="1" si="60"/>
        <v>0.24228031615827969</v>
      </c>
      <c r="BE43" s="301">
        <f t="shared" ca="1" si="61"/>
        <v>0.24215301431105415</v>
      </c>
      <c r="BF43" s="301">
        <f t="shared" ca="1" si="62"/>
        <v>0.23617955964856729</v>
      </c>
      <c r="BG43" s="301">
        <f t="shared" ca="1" si="63"/>
        <v>6.4554374500682262E-3</v>
      </c>
      <c r="BH43" s="302">
        <f t="shared" ca="1" si="64"/>
        <v>0</v>
      </c>
    </row>
    <row r="44" spans="1:62" x14ac:dyDescent="0.2">
      <c r="A44" s="335">
        <v>2027</v>
      </c>
      <c r="B44" s="925">
        <f t="shared" ref="B44:G53" si="69">ROUND(INDEX(COST_Cls3,$A44-($A$24-1),MATCH(B$20,TECHOPTS_Cls3,0)),2)</f>
        <v>98957.59</v>
      </c>
      <c r="C44" s="926">
        <f t="shared" si="69"/>
        <v>4545.3</v>
      </c>
      <c r="D44" s="926">
        <f t="shared" si="69"/>
        <v>4715.25</v>
      </c>
      <c r="E44" s="926">
        <f t="shared" si="69"/>
        <v>10254.58</v>
      </c>
      <c r="F44" s="926">
        <f t="shared" si="69"/>
        <v>47092.87</v>
      </c>
      <c r="G44" s="927">
        <f t="shared" si="69"/>
        <v>76467.990000000005</v>
      </c>
      <c r="H44" s="886">
        <f t="shared" ref="H44:M53" si="70">IF(H$21="Single-fuel",1,1-MIN(INDEX(CDRANGE_CLS3,$A44-($A$24-1),MATCH(H$20,TECHOPTS_Cls3,0))*OPDAYS_Cls3/$D$6,1))</f>
        <v>1</v>
      </c>
      <c r="I44" s="887">
        <f t="shared" si="70"/>
        <v>1</v>
      </c>
      <c r="J44" s="887">
        <f t="shared" si="70"/>
        <v>1</v>
      </c>
      <c r="K44" s="887">
        <f t="shared" si="70"/>
        <v>1</v>
      </c>
      <c r="L44" s="887">
        <f t="shared" si="70"/>
        <v>0.83037517891376256</v>
      </c>
      <c r="M44" s="888">
        <f t="shared" si="70"/>
        <v>1</v>
      </c>
      <c r="N44" s="833">
        <f t="shared" si="32"/>
        <v>8726.8084086028684</v>
      </c>
      <c r="O44" s="294">
        <f t="shared" si="33"/>
        <v>7702.1038560941633</v>
      </c>
      <c r="P44" s="294">
        <f t="shared" si="34"/>
        <v>7278.239726826856</v>
      </c>
      <c r="Q44" s="294">
        <f t="shared" si="35"/>
        <v>6775.3458134198609</v>
      </c>
      <c r="R44" s="294">
        <f t="shared" si="36"/>
        <v>7277.8737423169514</v>
      </c>
      <c r="S44" s="296">
        <f t="shared" si="37"/>
        <v>8660.8810599443932</v>
      </c>
      <c r="T44" s="834">
        <f t="shared" si="38"/>
        <v>1024.7045525087051</v>
      </c>
      <c r="U44" s="308">
        <f t="shared" si="39"/>
        <v>1448.5686817760125</v>
      </c>
      <c r="V44" s="308">
        <f t="shared" si="40"/>
        <v>1951.4625951830076</v>
      </c>
      <c r="W44" s="308">
        <f t="shared" si="41"/>
        <v>1448.934666285917</v>
      </c>
      <c r="X44" s="309">
        <f t="shared" si="42"/>
        <v>65.927348658475239</v>
      </c>
      <c r="Y44" s="297">
        <f ca="1">IF(AND(Y$22=TRUE,INDEX(CDRANGE_CLS3,MATCH($A44,$A$24:$A$67,0),MATCH(Y$20,$B$20:$G$20,0))&lt;$D$6/OPDAYS_Cls3),86,payback(C44,T44,disc_rate/12,85))</f>
        <v>5</v>
      </c>
      <c r="Z44" s="298">
        <f ca="1">IF(AND(Z$22=TRUE,INDEX(CDRANGE_CLS3,MATCH($A44,$A$24:$A$67,0),MATCH(Z$20,$B$20:$G$20,0))&lt;$D$6/OPDAYS_Cls3),86,payback(D44,U44,disc_rate/12,85))</f>
        <v>4</v>
      </c>
      <c r="AA44" s="298">
        <f ca="1">IF(AND(AA$22=TRUE,INDEX(CDRANGE_CLS3,MATCH($A44,$A$24:$A$67,0),MATCH(AA$20,$B$20:$G$20,0))&lt;$D$6/OPDAYS_Cls3),86,payback(E44,V44,disc_rate/12,85))</f>
        <v>6</v>
      </c>
      <c r="AB44" s="298">
        <f ca="1">IF(AND(AB$22=TRUE,INDEX(CDRANGE_CLS3,MATCH($A44,$A$24:$A$67,0),MATCH(AB$20,$B$20:$G$20,0))&lt;$D$6/OPDAYS_Cls3),86,payback(F44,W44,disc_rate/12,85))</f>
        <v>37</v>
      </c>
      <c r="AC44" s="299">
        <f>IF(AND(AC$22=TRUE,INDEX(CDRANGE_CLS3,MATCH($A44,$A$24:$A$67,0),MATCH(AC$20,$B$20:$G$20,0))&lt;$D$6/OPDAYS_Cls3),86,payback(G44,X44,disc_rate/12,85))</f>
        <v>86</v>
      </c>
      <c r="AD44" s="314">
        <f t="shared" si="43"/>
        <v>4.5014413642261338E-2</v>
      </c>
      <c r="AE44" s="315">
        <f t="shared" si="44"/>
        <v>2.7793406890609954E-2</v>
      </c>
      <c r="AF44" s="315">
        <f t="shared" si="45"/>
        <v>0</v>
      </c>
      <c r="AG44" s="315">
        <f t="shared" si="46"/>
        <v>0</v>
      </c>
      <c r="AH44" s="316">
        <f t="shared" si="47"/>
        <v>0</v>
      </c>
      <c r="AI44" s="695">
        <f t="shared" si="48"/>
        <v>0.44039853898894116</v>
      </c>
      <c r="AJ44" s="318">
        <f t="shared" si="49"/>
        <v>0.44039853898894116</v>
      </c>
      <c r="AK44" s="318">
        <f t="shared" si="50"/>
        <v>0.44039853898894116</v>
      </c>
      <c r="AL44" s="318">
        <f t="shared" si="51"/>
        <v>0.44039853898894116</v>
      </c>
      <c r="AM44" s="698">
        <f t="shared" si="52"/>
        <v>0.14801100680427121</v>
      </c>
      <c r="AN44" s="317">
        <f t="shared" si="65"/>
        <v>0.99415677721147755</v>
      </c>
      <c r="AO44" s="318">
        <f t="shared" si="65"/>
        <v>0.99371305091370921</v>
      </c>
      <c r="AP44" s="318">
        <f t="shared" si="65"/>
        <v>0.97061173790662691</v>
      </c>
      <c r="AQ44" s="318">
        <f t="shared" si="65"/>
        <v>0.53307913967556086</v>
      </c>
      <c r="AR44" s="698">
        <f t="shared" si="65"/>
        <v>0.19039302293717919</v>
      </c>
      <c r="AS44" s="314">
        <f t="shared" ca="1" si="54"/>
        <v>0.88079707797788231</v>
      </c>
      <c r="AT44" s="315">
        <f t="shared" ca="1" si="55"/>
        <v>0.88079707797788231</v>
      </c>
      <c r="AU44" s="315">
        <f t="shared" ca="1" si="56"/>
        <v>0.88079707797788231</v>
      </c>
      <c r="AV44" s="315">
        <f t="shared" ca="1" si="57"/>
        <v>0.18049004608149066</v>
      </c>
      <c r="AW44" s="316">
        <f t="shared" si="58"/>
        <v>0</v>
      </c>
      <c r="AX44" s="314">
        <f t="shared" ca="1" si="59"/>
        <v>0.87565038441977794</v>
      </c>
      <c r="AY44" s="315">
        <f t="shared" ca="1" si="59"/>
        <v>0.87525955159328162</v>
      </c>
      <c r="AZ44" s="315">
        <f t="shared" ca="1" si="59"/>
        <v>0.8549119825991911</v>
      </c>
      <c r="BA44" s="315">
        <f t="shared" ca="1" si="59"/>
        <v>9.6215478485123379E-2</v>
      </c>
      <c r="BB44" s="316">
        <f t="shared" si="59"/>
        <v>0</v>
      </c>
      <c r="BC44" s="314">
        <f t="shared" ca="1" si="66"/>
        <v>0.12434961558022217</v>
      </c>
      <c r="BD44" s="315">
        <f t="shared" ca="1" si="60"/>
        <v>0.28377238470429383</v>
      </c>
      <c r="BE44" s="315">
        <f t="shared" ca="1" si="61"/>
        <v>0.28364572734746635</v>
      </c>
      <c r="BF44" s="315">
        <f t="shared" ca="1" si="62"/>
        <v>0.27705168219071785</v>
      </c>
      <c r="BG44" s="315">
        <f t="shared" ca="1" si="63"/>
        <v>3.1180590177299818E-2</v>
      </c>
      <c r="BH44" s="316">
        <f t="shared" ca="1" si="64"/>
        <v>0</v>
      </c>
    </row>
    <row r="45" spans="1:62" x14ac:dyDescent="0.2">
      <c r="A45" s="335">
        <v>2028</v>
      </c>
      <c r="B45" s="925">
        <f t="shared" si="69"/>
        <v>99379.93</v>
      </c>
      <c r="C45" s="926">
        <f t="shared" si="69"/>
        <v>4716.79</v>
      </c>
      <c r="D45" s="926">
        <f t="shared" si="69"/>
        <v>4851.49</v>
      </c>
      <c r="E45" s="926">
        <f t="shared" si="69"/>
        <v>10103.799999999999</v>
      </c>
      <c r="F45" s="926">
        <f t="shared" si="69"/>
        <v>42174.02</v>
      </c>
      <c r="G45" s="927">
        <f t="shared" si="69"/>
        <v>66852.509999999995</v>
      </c>
      <c r="H45" s="886">
        <f t="shared" si="70"/>
        <v>1</v>
      </c>
      <c r="I45" s="887">
        <f t="shared" si="70"/>
        <v>1</v>
      </c>
      <c r="J45" s="887">
        <f t="shared" si="70"/>
        <v>1</v>
      </c>
      <c r="K45" s="887">
        <f t="shared" si="70"/>
        <v>1</v>
      </c>
      <c r="L45" s="887">
        <f t="shared" si="70"/>
        <v>0.8296487905122677</v>
      </c>
      <c r="M45" s="888">
        <f t="shared" si="70"/>
        <v>1</v>
      </c>
      <c r="N45" s="833">
        <f t="shared" si="32"/>
        <v>8723.8192626901582</v>
      </c>
      <c r="O45" s="294">
        <f t="shared" si="33"/>
        <v>7583.4936000544394</v>
      </c>
      <c r="P45" s="294">
        <f t="shared" si="34"/>
        <v>7162.2091262157182</v>
      </c>
      <c r="Q45" s="294">
        <f t="shared" si="35"/>
        <v>6671.9743795782133</v>
      </c>
      <c r="R45" s="294">
        <f t="shared" si="36"/>
        <v>7102.6364202326931</v>
      </c>
      <c r="S45" s="296">
        <f t="shared" si="37"/>
        <v>8464.4991471484536</v>
      </c>
      <c r="T45" s="834">
        <f t="shared" si="38"/>
        <v>1140.3256626357188</v>
      </c>
      <c r="U45" s="308">
        <f t="shared" si="39"/>
        <v>1561.61013647444</v>
      </c>
      <c r="V45" s="308">
        <f t="shared" si="40"/>
        <v>2051.8448831119449</v>
      </c>
      <c r="W45" s="308">
        <f t="shared" si="41"/>
        <v>1621.1828424574651</v>
      </c>
      <c r="X45" s="309">
        <f t="shared" si="42"/>
        <v>259.32011554170458</v>
      </c>
      <c r="Y45" s="297">
        <f ca="1">IF(AND(Y$22=TRUE,INDEX(CDRANGE_CLS3,MATCH($A45,$A$24:$A$67,0),MATCH(Y$20,$B$20:$G$20,0))&lt;$D$6/OPDAYS_Cls3),86,payback(C45,T45,disc_rate/12,85))</f>
        <v>5</v>
      </c>
      <c r="Z45" s="298">
        <f ca="1">IF(AND(Z$22=TRUE,INDEX(CDRANGE_CLS3,MATCH($A45,$A$24:$A$67,0),MATCH(Z$20,$B$20:$G$20,0))&lt;$D$6/OPDAYS_Cls3),86,payback(D45,U45,disc_rate/12,85))</f>
        <v>4</v>
      </c>
      <c r="AA45" s="298">
        <f ca="1">IF(AND(AA$22=TRUE,INDEX(CDRANGE_CLS3,MATCH($A45,$A$24:$A$67,0),MATCH(AA$20,$B$20:$G$20,0))&lt;$D$6/OPDAYS_Cls3),86,payback(E45,V45,disc_rate/12,85))</f>
        <v>6</v>
      </c>
      <c r="AB45" s="298">
        <f ca="1">IF(AND(AB$22=TRUE,INDEX(CDRANGE_CLS3,MATCH($A45,$A$24:$A$67,0),MATCH(AB$20,$B$20:$G$20,0))&lt;$D$6/OPDAYS_Cls3),86,payback(F45,W45,disc_rate/12,85))</f>
        <v>29</v>
      </c>
      <c r="AC45" s="299">
        <f>IF(AND(AC$22=TRUE,INDEX(CDRANGE_CLS3,MATCH($A45,$A$24:$A$67,0),MATCH(AC$20,$B$20:$G$20,0))&lt;$D$6/OPDAYS_Cls3),86,payback(G45,X45,disc_rate/12,85))</f>
        <v>86</v>
      </c>
      <c r="AD45" s="314">
        <f t="shared" si="43"/>
        <v>3.0058319858445533E-2</v>
      </c>
      <c r="AE45" s="315">
        <f t="shared" si="44"/>
        <v>1.7048957010990153E-2</v>
      </c>
      <c r="AF45" s="315">
        <f t="shared" si="45"/>
        <v>0</v>
      </c>
      <c r="AG45" s="315">
        <f t="shared" si="46"/>
        <v>0</v>
      </c>
      <c r="AH45" s="316">
        <f t="shared" si="47"/>
        <v>0</v>
      </c>
      <c r="AI45" s="695">
        <f t="shared" si="48"/>
        <v>0.47628706341121668</v>
      </c>
      <c r="AJ45" s="318">
        <f t="shared" si="49"/>
        <v>0.47628706341121668</v>
      </c>
      <c r="AK45" s="318">
        <f t="shared" si="50"/>
        <v>0.47628706341121668</v>
      </c>
      <c r="AL45" s="318">
        <f t="shared" si="51"/>
        <v>0.47628706341121668</v>
      </c>
      <c r="AM45" s="698">
        <f t="shared" si="52"/>
        <v>0.18678877439881256</v>
      </c>
      <c r="AN45" s="317">
        <f t="shared" si="65"/>
        <v>0.99376214691403275</v>
      </c>
      <c r="AO45" s="318">
        <f t="shared" si="65"/>
        <v>0.99340197873883906</v>
      </c>
      <c r="AP45" s="318">
        <f t="shared" si="65"/>
        <v>0.97169587679108105</v>
      </c>
      <c r="AQ45" s="318">
        <f t="shared" si="65"/>
        <v>0.60637693088031164</v>
      </c>
      <c r="AR45" s="698">
        <f t="shared" si="65"/>
        <v>0.28450603259612528</v>
      </c>
      <c r="AS45" s="314">
        <f t="shared" ca="1" si="54"/>
        <v>0.95257412682243336</v>
      </c>
      <c r="AT45" s="315">
        <f t="shared" ca="1" si="55"/>
        <v>0.95257412682243336</v>
      </c>
      <c r="AU45" s="315">
        <f t="shared" ca="1" si="56"/>
        <v>0.95257412682243336</v>
      </c>
      <c r="AV45" s="315">
        <f t="shared" ca="1" si="57"/>
        <v>0.37725238170808523</v>
      </c>
      <c r="AW45" s="316">
        <f t="shared" si="58"/>
        <v>0</v>
      </c>
      <c r="AX45" s="314">
        <f t="shared" ca="1" si="59"/>
        <v>0.94663210936582154</v>
      </c>
      <c r="AY45" s="315">
        <f t="shared" ca="1" si="59"/>
        <v>0.94628902248082714</v>
      </c>
      <c r="AZ45" s="315">
        <f t="shared" ca="1" si="59"/>
        <v>0.92561235137122277</v>
      </c>
      <c r="BA45" s="315">
        <f t="shared" ca="1" si="59"/>
        <v>0.22875714138743652</v>
      </c>
      <c r="BB45" s="316">
        <f t="shared" si="59"/>
        <v>0</v>
      </c>
      <c r="BC45" s="314">
        <f t="shared" ca="1" si="66"/>
        <v>5.3367890634178572E-2</v>
      </c>
      <c r="BD45" s="315">
        <f t="shared" ca="1" si="60"/>
        <v>0.29406855494738088</v>
      </c>
      <c r="BE45" s="315">
        <f t="shared" ca="1" si="61"/>
        <v>0.29396197598867718</v>
      </c>
      <c r="BF45" s="315">
        <f t="shared" ca="1" si="62"/>
        <v>0.28753882729747443</v>
      </c>
      <c r="BG45" s="315">
        <f t="shared" ca="1" si="63"/>
        <v>7.1062751132288993E-2</v>
      </c>
      <c r="BH45" s="316">
        <f t="shared" ca="1" si="64"/>
        <v>0</v>
      </c>
    </row>
    <row r="46" spans="1:62" x14ac:dyDescent="0.2">
      <c r="A46" s="335">
        <v>2029</v>
      </c>
      <c r="B46" s="925">
        <f t="shared" si="69"/>
        <v>99802.26</v>
      </c>
      <c r="C46" s="926">
        <f t="shared" si="69"/>
        <v>4888.28</v>
      </c>
      <c r="D46" s="926">
        <f t="shared" si="69"/>
        <v>4987.7299999999996</v>
      </c>
      <c r="E46" s="926">
        <f t="shared" si="69"/>
        <v>9953.0300000000007</v>
      </c>
      <c r="F46" s="926">
        <f t="shared" si="69"/>
        <v>37255.160000000003</v>
      </c>
      <c r="G46" s="927">
        <f t="shared" si="69"/>
        <v>57237.04</v>
      </c>
      <c r="H46" s="886">
        <f t="shared" si="70"/>
        <v>1</v>
      </c>
      <c r="I46" s="887">
        <f t="shared" si="70"/>
        <v>1</v>
      </c>
      <c r="J46" s="887">
        <f t="shared" si="70"/>
        <v>1</v>
      </c>
      <c r="K46" s="887">
        <f t="shared" si="70"/>
        <v>1</v>
      </c>
      <c r="L46" s="887">
        <f t="shared" si="70"/>
        <v>0.82892240211077295</v>
      </c>
      <c r="M46" s="888">
        <f t="shared" si="70"/>
        <v>1</v>
      </c>
      <c r="N46" s="833">
        <f t="shared" si="32"/>
        <v>8824.7056778539772</v>
      </c>
      <c r="O46" s="294">
        <f t="shared" si="33"/>
        <v>7559.8111389784899</v>
      </c>
      <c r="P46" s="294">
        <f t="shared" si="34"/>
        <v>7136.1098812068394</v>
      </c>
      <c r="Q46" s="294">
        <f t="shared" si="35"/>
        <v>6652.0540016540199</v>
      </c>
      <c r="R46" s="294">
        <f t="shared" si="36"/>
        <v>6989.2106084218949</v>
      </c>
      <c r="S46" s="296">
        <f t="shared" si="37"/>
        <v>8180.6968329467827</v>
      </c>
      <c r="T46" s="834">
        <f t="shared" si="38"/>
        <v>1264.8945388754873</v>
      </c>
      <c r="U46" s="308">
        <f t="shared" si="39"/>
        <v>1688.5957966471378</v>
      </c>
      <c r="V46" s="308">
        <f t="shared" si="40"/>
        <v>2172.6516761999574</v>
      </c>
      <c r="W46" s="308">
        <f t="shared" si="41"/>
        <v>1835.4950694320823</v>
      </c>
      <c r="X46" s="309">
        <f t="shared" si="42"/>
        <v>644.00884490719454</v>
      </c>
      <c r="Y46" s="297">
        <f ca="1">IF(AND(Y$22=TRUE,INDEX(CDRANGE_CLS3,MATCH($A46,$A$24:$A$67,0),MATCH(Y$20,$B$20:$G$20,0))&lt;$D$6/OPDAYS_Cls3),86,payback(C46,T46,disc_rate/12,85))</f>
        <v>4</v>
      </c>
      <c r="Z46" s="298">
        <f ca="1">IF(AND(Z$22=TRUE,INDEX(CDRANGE_CLS3,MATCH($A46,$A$24:$A$67,0),MATCH(Z$20,$B$20:$G$20,0))&lt;$D$6/OPDAYS_Cls3),86,payback(D46,U46,disc_rate/12,85))</f>
        <v>3</v>
      </c>
      <c r="AA46" s="298">
        <f ca="1">IF(AND(AA$22=TRUE,INDEX(CDRANGE_CLS3,MATCH($A46,$A$24:$A$67,0),MATCH(AA$20,$B$20:$G$20,0))&lt;$D$6/OPDAYS_Cls3),86,payback(E46,V46,disc_rate/12,85))</f>
        <v>5</v>
      </c>
      <c r="AB46" s="298">
        <f ca="1">IF(AND(AB$22=TRUE,INDEX(CDRANGE_CLS3,MATCH($A46,$A$24:$A$67,0),MATCH(AB$20,$B$20:$G$20,0))&lt;$D$6/OPDAYS_Cls3),86,payback(F46,W46,disc_rate/12,85))</f>
        <v>22</v>
      </c>
      <c r="AC46" s="299">
        <f>IF(AND(AC$22=TRUE,INDEX(CDRANGE_CLS3,MATCH($A46,$A$24:$A$67,0),MATCH(AC$20,$B$20:$G$20,0))&lt;$D$6/OPDAYS_Cls3),86,payback(G46,X46,disc_rate/12,85))</f>
        <v>86</v>
      </c>
      <c r="AD46" s="314">
        <f t="shared" si="43"/>
        <v>9.0476967152006878E-3</v>
      </c>
      <c r="AE46" s="315">
        <f t="shared" si="44"/>
        <v>9.0476967152006878E-3</v>
      </c>
      <c r="AF46" s="315">
        <f t="shared" si="45"/>
        <v>0</v>
      </c>
      <c r="AG46" s="315">
        <f t="shared" si="46"/>
        <v>0</v>
      </c>
      <c r="AH46" s="316">
        <f t="shared" si="47"/>
        <v>0</v>
      </c>
      <c r="AI46" s="695">
        <f t="shared" si="48"/>
        <v>0.49100689501895423</v>
      </c>
      <c r="AJ46" s="318">
        <f t="shared" si="49"/>
        <v>0.49100689501895423</v>
      </c>
      <c r="AK46" s="318">
        <f t="shared" si="50"/>
        <v>0.49100689501895423</v>
      </c>
      <c r="AL46" s="318">
        <f t="shared" si="51"/>
        <v>0.49100689501895423</v>
      </c>
      <c r="AM46" s="698">
        <f t="shared" si="52"/>
        <v>0.22145449369332124</v>
      </c>
      <c r="AN46" s="317">
        <f t="shared" si="65"/>
        <v>0.99335824806969308</v>
      </c>
      <c r="AO46" s="318">
        <f t="shared" si="65"/>
        <v>0.99308619759922279</v>
      </c>
      <c r="AP46" s="318">
        <f t="shared" si="65"/>
        <v>0.97275152850087787</v>
      </c>
      <c r="AQ46" s="318">
        <f t="shared" si="65"/>
        <v>0.67904349922789375</v>
      </c>
      <c r="AR46" s="698">
        <f t="shared" si="65"/>
        <v>0.40106509546643621</v>
      </c>
      <c r="AS46" s="314">
        <f t="shared" ca="1" si="54"/>
        <v>0.98201379003790845</v>
      </c>
      <c r="AT46" s="315">
        <f t="shared" ca="1" si="55"/>
        <v>0.98201379003790845</v>
      </c>
      <c r="AU46" s="315">
        <f t="shared" ca="1" si="56"/>
        <v>0.98201379003790845</v>
      </c>
      <c r="AV46" s="315">
        <f t="shared" ca="1" si="57"/>
        <v>0.60644733917237603</v>
      </c>
      <c r="AW46" s="316">
        <f t="shared" si="58"/>
        <v>0</v>
      </c>
      <c r="AX46" s="314">
        <f t="shared" ca="1" si="59"/>
        <v>0.97549149805233615</v>
      </c>
      <c r="AY46" s="315">
        <f t="shared" ca="1" si="59"/>
        <v>0.97522434073874797</v>
      </c>
      <c r="AZ46" s="315">
        <f t="shared" ca="1" si="59"/>
        <v>0.95525541526831559</v>
      </c>
      <c r="BA46" s="315">
        <f t="shared" ca="1" si="59"/>
        <v>0.41180412328905552</v>
      </c>
      <c r="BB46" s="316">
        <f t="shared" si="59"/>
        <v>0</v>
      </c>
      <c r="BC46" s="314">
        <f t="shared" ca="1" si="66"/>
        <v>2.4508501947663741E-2</v>
      </c>
      <c r="BD46" s="315">
        <f t="shared" ca="1" si="60"/>
        <v>0.28681376963285882</v>
      </c>
      <c r="BE46" s="315">
        <f t="shared" ca="1" si="61"/>
        <v>0.2867352201054173</v>
      </c>
      <c r="BF46" s="315">
        <f t="shared" ca="1" si="62"/>
        <v>0.28086396156433563</v>
      </c>
      <c r="BG46" s="315">
        <f t="shared" ca="1" si="63"/>
        <v>0.12107854674972449</v>
      </c>
      <c r="BH46" s="316">
        <f t="shared" ca="1" si="64"/>
        <v>0</v>
      </c>
    </row>
    <row r="47" spans="1:62" ht="13.5" thickBot="1" x14ac:dyDescent="0.25">
      <c r="A47" s="718">
        <v>2030</v>
      </c>
      <c r="B47" s="919">
        <f t="shared" si="69"/>
        <v>100224.6</v>
      </c>
      <c r="C47" s="920">
        <f t="shared" si="69"/>
        <v>5059.7700000000004</v>
      </c>
      <c r="D47" s="920">
        <f t="shared" si="69"/>
        <v>5123.97</v>
      </c>
      <c r="E47" s="920">
        <f t="shared" si="69"/>
        <v>9802.25</v>
      </c>
      <c r="F47" s="920">
        <f t="shared" si="69"/>
        <v>32336.31</v>
      </c>
      <c r="G47" s="921">
        <f t="shared" si="69"/>
        <v>47621.56</v>
      </c>
      <c r="H47" s="886">
        <f t="shared" si="70"/>
        <v>1</v>
      </c>
      <c r="I47" s="887">
        <f t="shared" si="70"/>
        <v>1</v>
      </c>
      <c r="J47" s="887">
        <f t="shared" si="70"/>
        <v>1</v>
      </c>
      <c r="K47" s="887">
        <f t="shared" si="70"/>
        <v>1</v>
      </c>
      <c r="L47" s="887">
        <f t="shared" si="70"/>
        <v>0.8281960137092782</v>
      </c>
      <c r="M47" s="888">
        <f t="shared" si="70"/>
        <v>1</v>
      </c>
      <c r="N47" s="988">
        <f t="shared" si="32"/>
        <v>8746.2460710069463</v>
      </c>
      <c r="O47" s="881">
        <f t="shared" si="33"/>
        <v>7387.6502916114296</v>
      </c>
      <c r="P47" s="881">
        <f t="shared" si="34"/>
        <v>6970.1340499707567</v>
      </c>
      <c r="Q47" s="881">
        <f t="shared" si="35"/>
        <v>6501.4164223437147</v>
      </c>
      <c r="R47" s="881">
        <f t="shared" si="36"/>
        <v>6777.4006286160511</v>
      </c>
      <c r="S47" s="882">
        <f t="shared" si="37"/>
        <v>7946.415700048743</v>
      </c>
      <c r="T47" s="835">
        <f t="shared" si="38"/>
        <v>1358.5957793955167</v>
      </c>
      <c r="U47" s="719">
        <f t="shared" si="39"/>
        <v>1776.1120210361896</v>
      </c>
      <c r="V47" s="719">
        <f t="shared" si="40"/>
        <v>2244.8296486632316</v>
      </c>
      <c r="W47" s="719">
        <f t="shared" si="41"/>
        <v>1968.8454423908952</v>
      </c>
      <c r="X47" s="720">
        <f t="shared" si="42"/>
        <v>799.83037095820328</v>
      </c>
      <c r="Y47" s="823">
        <f ca="1">IF(AND(Y$22=TRUE,INDEX(CDRANGE_CLS3,MATCH($A47,$A$24:$A$67,0),MATCH(Y$20,$B$20:$G$20,0))&lt;$D$6/OPDAYS_Cls3),86,payback(C47,T47,disc_rate/12,85))</f>
        <v>4</v>
      </c>
      <c r="Z47" s="824">
        <f ca="1">IF(AND(Z$22=TRUE,INDEX(CDRANGE_CLS3,MATCH($A47,$A$24:$A$67,0),MATCH(Z$20,$B$20:$G$20,0))&lt;$D$6/OPDAYS_Cls3),86,payback(D47,U47,disc_rate/12,85))</f>
        <v>3</v>
      </c>
      <c r="AA47" s="824">
        <f ca="1">IF(AND(AA$22=TRUE,INDEX(CDRANGE_CLS3,MATCH($A47,$A$24:$A$67,0),MATCH(AA$20,$B$20:$G$20,0))&lt;$D$6/OPDAYS_Cls3),86,payback(E47,V47,disc_rate/12,85))</f>
        <v>5</v>
      </c>
      <c r="AB47" s="824">
        <f ca="1">IF(AND(AB$22=TRUE,INDEX(CDRANGE_CLS3,MATCH($A47,$A$24:$A$67,0),MATCH(AB$20,$B$20:$G$20,0))&lt;$D$6/OPDAYS_Cls3),86,payback(F47,W47,disc_rate/12,85))</f>
        <v>18</v>
      </c>
      <c r="AC47" s="997">
        <f>IF(AND(AC$22=TRUE,INDEX(CDRANGE_CLS3,MATCH($A47,$A$24:$A$67,0),MATCH(AC$20,$B$20:$G$20,0))&lt;$D$6/OPDAYS_Cls3),86,payback(G47,X47,disc_rate/12,85))</f>
        <v>86</v>
      </c>
      <c r="AD47" s="724">
        <f t="shared" si="43"/>
        <v>0</v>
      </c>
      <c r="AE47" s="725">
        <f t="shared" si="44"/>
        <v>0</v>
      </c>
      <c r="AF47" s="725">
        <f t="shared" si="45"/>
        <v>0</v>
      </c>
      <c r="AG47" s="725">
        <f t="shared" si="46"/>
        <v>0</v>
      </c>
      <c r="AH47" s="726">
        <f t="shared" si="47"/>
        <v>0</v>
      </c>
      <c r="AI47" s="727">
        <f t="shared" si="48"/>
        <v>0.49665357453785763</v>
      </c>
      <c r="AJ47" s="728">
        <f t="shared" si="49"/>
        <v>0.49665357453785763</v>
      </c>
      <c r="AK47" s="728">
        <f t="shared" si="50"/>
        <v>0.49665357453785763</v>
      </c>
      <c r="AL47" s="728">
        <f t="shared" si="51"/>
        <v>0.49665357453785763</v>
      </c>
      <c r="AM47" s="729">
        <f t="shared" si="52"/>
        <v>0.26915504155730741</v>
      </c>
      <c r="AN47" s="730">
        <f t="shared" si="65"/>
        <v>0.99294537435345864</v>
      </c>
      <c r="AO47" s="728">
        <f t="shared" si="65"/>
        <v>0.99276586905801067</v>
      </c>
      <c r="AP47" s="728">
        <f t="shared" si="65"/>
        <v>0.97377935074316258</v>
      </c>
      <c r="AQ47" s="728">
        <f t="shared" si="65"/>
        <v>0.7488965917666377</v>
      </c>
      <c r="AR47" s="729">
        <f t="shared" si="65"/>
        <v>0.53412369548373873</v>
      </c>
      <c r="AS47" s="724">
        <f t="shared" ca="1" si="54"/>
        <v>0.99330714907571527</v>
      </c>
      <c r="AT47" s="725">
        <f t="shared" ca="1" si="55"/>
        <v>0.99330714907571527</v>
      </c>
      <c r="AU47" s="725">
        <f t="shared" ca="1" si="56"/>
        <v>0.99330714907571527</v>
      </c>
      <c r="AV47" s="725">
        <f t="shared" ca="1" si="57"/>
        <v>0.74535852314634476</v>
      </c>
      <c r="AW47" s="726">
        <f t="shared" si="58"/>
        <v>0</v>
      </c>
      <c r="AX47" s="724">
        <f t="shared" ca="1" si="59"/>
        <v>0.98629973898695289</v>
      </c>
      <c r="AY47" s="725">
        <f t="shared" ca="1" si="59"/>
        <v>0.98612143509368744</v>
      </c>
      <c r="AZ47" s="725">
        <f t="shared" ca="1" si="59"/>
        <v>0.96726199071549179</v>
      </c>
      <c r="BA47" s="725">
        <f t="shared" ca="1" si="59"/>
        <v>0.55819645762851211</v>
      </c>
      <c r="BB47" s="726">
        <f t="shared" si="59"/>
        <v>0</v>
      </c>
      <c r="BC47" s="724">
        <f t="shared" ca="1" si="66"/>
        <v>1.3700261013046999E-2</v>
      </c>
      <c r="BD47" s="725">
        <f t="shared" ca="1" si="60"/>
        <v>0.27810767668768982</v>
      </c>
      <c r="BE47" s="725">
        <f t="shared" ca="1" si="61"/>
        <v>0.27805740020525727</v>
      </c>
      <c r="BF47" s="725">
        <f t="shared" ca="1" si="62"/>
        <v>0.27273958853775349</v>
      </c>
      <c r="BG47" s="725">
        <f t="shared" ca="1" si="63"/>
        <v>0.1573950735562524</v>
      </c>
      <c r="BH47" s="726">
        <f t="shared" ca="1" si="64"/>
        <v>0</v>
      </c>
    </row>
    <row r="48" spans="1:62" x14ac:dyDescent="0.2">
      <c r="A48" s="336">
        <v>2031</v>
      </c>
      <c r="B48" s="922">
        <f t="shared" si="69"/>
        <v>100224.6</v>
      </c>
      <c r="C48" s="923">
        <f t="shared" si="69"/>
        <v>5059.7700000000004</v>
      </c>
      <c r="D48" s="923">
        <f t="shared" si="69"/>
        <v>5123.97</v>
      </c>
      <c r="E48" s="923">
        <f t="shared" si="69"/>
        <v>10076.4</v>
      </c>
      <c r="F48" s="923">
        <f t="shared" si="69"/>
        <v>30465.14</v>
      </c>
      <c r="G48" s="924">
        <f t="shared" si="69"/>
        <v>43697.81</v>
      </c>
      <c r="H48" s="886">
        <f t="shared" si="70"/>
        <v>1</v>
      </c>
      <c r="I48" s="887">
        <f t="shared" si="70"/>
        <v>1</v>
      </c>
      <c r="J48" s="887">
        <f t="shared" si="70"/>
        <v>1</v>
      </c>
      <c r="K48" s="887">
        <f t="shared" si="70"/>
        <v>1</v>
      </c>
      <c r="L48" s="887">
        <f t="shared" si="70"/>
        <v>0.82748053194647131</v>
      </c>
      <c r="M48" s="888">
        <f t="shared" si="70"/>
        <v>1</v>
      </c>
      <c r="N48" s="836">
        <f t="shared" si="32"/>
        <v>8822.926212374352</v>
      </c>
      <c r="O48" s="732">
        <f t="shared" si="33"/>
        <v>7452.4193438579232</v>
      </c>
      <c r="P48" s="732">
        <f t="shared" si="34"/>
        <v>7031.2426513023902</v>
      </c>
      <c r="Q48" s="732">
        <f t="shared" si="35"/>
        <v>6493.1838027799704</v>
      </c>
      <c r="R48" s="732">
        <f t="shared" si="36"/>
        <v>6722.503814670119</v>
      </c>
      <c r="S48" s="846">
        <f t="shared" si="37"/>
        <v>7868.6031292498974</v>
      </c>
      <c r="T48" s="836">
        <f t="shared" si="38"/>
        <v>1370.5068685164288</v>
      </c>
      <c r="U48" s="732">
        <f t="shared" si="39"/>
        <v>1791.6835610719618</v>
      </c>
      <c r="V48" s="732">
        <f t="shared" si="40"/>
        <v>2329.7424095943816</v>
      </c>
      <c r="W48" s="732">
        <f t="shared" si="41"/>
        <v>2100.4223977042329</v>
      </c>
      <c r="X48" s="733">
        <f t="shared" si="42"/>
        <v>954.32308312445457</v>
      </c>
      <c r="Y48" s="734">
        <f ca="1">IF(AND(Y$22=TRUE,INDEX(CDRANGE_CLS3,MATCH($A48,$A$24:$A$67,0),MATCH(Y$20,$B$20:$G$20,0))&lt;$D$6/OPDAYS_Cls3),86,payback(C48,T48,disc_rate/12,85))</f>
        <v>4</v>
      </c>
      <c r="Z48" s="735">
        <f ca="1">IF(AND(Z$22=TRUE,INDEX(CDRANGE_CLS3,MATCH($A48,$A$24:$A$67,0),MATCH(Z$20,$B$20:$G$20,0))&lt;$D$6/OPDAYS_Cls3),86,payback(D48,U48,disc_rate/12,85))</f>
        <v>3</v>
      </c>
      <c r="AA48" s="735">
        <f ca="1">IF(AND(AA$22=TRUE,INDEX(CDRANGE_CLS3,MATCH($A48,$A$24:$A$67,0),MATCH(AA$20,$B$20:$G$20,0))&lt;$D$6/OPDAYS_Cls3),86,payback(E48,V48,disc_rate/12,85))</f>
        <v>5</v>
      </c>
      <c r="AB48" s="735">
        <f ca="1">IF(AND(AB$22=TRUE,INDEX(CDRANGE_CLS3,MATCH($A48,$A$24:$A$67,0),MATCH(AB$20,$B$20:$G$20,0))&lt;$D$6/OPDAYS_Cls3),86,payback(F48,W48,disc_rate/12,85))</f>
        <v>16</v>
      </c>
      <c r="AC48" s="998">
        <f>IF(AND(AC$22=TRUE,INDEX(CDRANGE_CLS3,MATCH($A48,$A$24:$A$67,0),MATCH(AC$20,$B$20:$G$20,0))&lt;$D$6/OPDAYS_Cls3),86,payback(G48,X48,disc_rate/12,85))</f>
        <v>86</v>
      </c>
      <c r="AD48" s="737">
        <f t="shared" si="43"/>
        <v>0</v>
      </c>
      <c r="AE48" s="738">
        <f t="shared" si="44"/>
        <v>0</v>
      </c>
      <c r="AF48" s="738">
        <f t="shared" si="45"/>
        <v>0</v>
      </c>
      <c r="AG48" s="738">
        <f t="shared" si="46"/>
        <v>0</v>
      </c>
      <c r="AH48" s="739">
        <f t="shared" si="47"/>
        <v>0</v>
      </c>
      <c r="AI48" s="740">
        <f t="shared" si="48"/>
        <v>0.49876368842168267</v>
      </c>
      <c r="AJ48" s="741">
        <f t="shared" si="49"/>
        <v>0.49876368842168267</v>
      </c>
      <c r="AK48" s="741">
        <f t="shared" si="50"/>
        <v>0.49876368842168267</v>
      </c>
      <c r="AL48" s="741">
        <f t="shared" si="51"/>
        <v>0.49876368842168267</v>
      </c>
      <c r="AM48" s="742">
        <f t="shared" si="52"/>
        <v>0.30046701631220585</v>
      </c>
      <c r="AN48" s="743">
        <f t="shared" si="65"/>
        <v>0.99294537435345864</v>
      </c>
      <c r="AO48" s="741">
        <f t="shared" si="65"/>
        <v>0.99276586905801067</v>
      </c>
      <c r="AP48" s="741">
        <f t="shared" si="65"/>
        <v>0.9723129342841017</v>
      </c>
      <c r="AQ48" s="741">
        <f t="shared" si="65"/>
        <v>0.77363257413237396</v>
      </c>
      <c r="AR48" s="742">
        <f t="shared" si="65"/>
        <v>0.58975879327355429</v>
      </c>
      <c r="AS48" s="737">
        <f t="shared" ca="1" si="54"/>
        <v>0.99752737684336534</v>
      </c>
      <c r="AT48" s="738">
        <f t="shared" ca="1" si="55"/>
        <v>0.99752737684336534</v>
      </c>
      <c r="AU48" s="738">
        <f t="shared" ca="1" si="56"/>
        <v>0.99752737684336534</v>
      </c>
      <c r="AV48" s="738">
        <f t="shared" ca="1" si="57"/>
        <v>0.81114483425327044</v>
      </c>
      <c r="AW48" s="739">
        <f t="shared" si="58"/>
        <v>0</v>
      </c>
      <c r="AX48" s="737">
        <f t="shared" ca="1" si="59"/>
        <v>0.99049019462755905</v>
      </c>
      <c r="AY48" s="738">
        <f t="shared" ca="1" si="59"/>
        <v>0.99031113318106134</v>
      </c>
      <c r="AZ48" s="738">
        <f t="shared" ca="1" si="59"/>
        <v>0.96990877080729543</v>
      </c>
      <c r="BA48" s="738">
        <f t="shared" ca="1" si="59"/>
        <v>0.62752806611753542</v>
      </c>
      <c r="BB48" s="739">
        <f t="shared" si="59"/>
        <v>0</v>
      </c>
      <c r="BC48" s="737">
        <f t="shared" ca="1" si="66"/>
        <v>9.5098053724407272E-3</v>
      </c>
      <c r="BD48" s="738">
        <f t="shared" ca="1" si="60"/>
        <v>0.27417706158371979</v>
      </c>
      <c r="BE48" s="738">
        <f t="shared" ca="1" si="61"/>
        <v>0.27412749568038225</v>
      </c>
      <c r="BF48" s="738">
        <f t="shared" ca="1" si="62"/>
        <v>0.26847992865211018</v>
      </c>
      <c r="BG48" s="738">
        <f t="shared" ca="1" si="63"/>
        <v>0.17370570871134688</v>
      </c>
      <c r="BH48" s="739">
        <f t="shared" ca="1" si="64"/>
        <v>0</v>
      </c>
    </row>
    <row r="49" spans="1:60" x14ac:dyDescent="0.2">
      <c r="A49" s="335">
        <v>2032</v>
      </c>
      <c r="B49" s="925">
        <f t="shared" si="69"/>
        <v>100224.6</v>
      </c>
      <c r="C49" s="926">
        <f t="shared" si="69"/>
        <v>5059.7700000000004</v>
      </c>
      <c r="D49" s="926">
        <f t="shared" si="69"/>
        <v>5123.97</v>
      </c>
      <c r="E49" s="926">
        <f t="shared" si="69"/>
        <v>10350.549999999999</v>
      </c>
      <c r="F49" s="926">
        <f t="shared" si="69"/>
        <v>28593.97</v>
      </c>
      <c r="G49" s="927">
        <f t="shared" si="69"/>
        <v>39774.06</v>
      </c>
      <c r="H49" s="886">
        <f t="shared" si="70"/>
        <v>1</v>
      </c>
      <c r="I49" s="887">
        <f t="shared" si="70"/>
        <v>1</v>
      </c>
      <c r="J49" s="887">
        <f t="shared" si="70"/>
        <v>1</v>
      </c>
      <c r="K49" s="887">
        <f t="shared" si="70"/>
        <v>1</v>
      </c>
      <c r="L49" s="887">
        <f t="shared" si="70"/>
        <v>0.82676505018366431</v>
      </c>
      <c r="M49" s="888">
        <f t="shared" si="70"/>
        <v>1</v>
      </c>
      <c r="N49" s="833">
        <f t="shared" si="32"/>
        <v>8906.0755905155929</v>
      </c>
      <c r="O49" s="294">
        <f t="shared" si="33"/>
        <v>7522.6527357251771</v>
      </c>
      <c r="P49" s="294">
        <f t="shared" si="34"/>
        <v>7097.5067727450014</v>
      </c>
      <c r="Q49" s="294">
        <f t="shared" si="35"/>
        <v>6489.8274495160385</v>
      </c>
      <c r="R49" s="294">
        <f t="shared" si="36"/>
        <v>6678.6333080990116</v>
      </c>
      <c r="S49" s="296">
        <f t="shared" si="37"/>
        <v>7825.4906354486066</v>
      </c>
      <c r="T49" s="834">
        <f t="shared" si="38"/>
        <v>1383.4228547904158</v>
      </c>
      <c r="U49" s="308">
        <f t="shared" si="39"/>
        <v>1808.5688177705915</v>
      </c>
      <c r="V49" s="308">
        <f t="shared" si="40"/>
        <v>2416.2481409995544</v>
      </c>
      <c r="W49" s="308">
        <f t="shared" si="41"/>
        <v>2227.4422824165813</v>
      </c>
      <c r="X49" s="309">
        <f t="shared" si="42"/>
        <v>1080.5849550669864</v>
      </c>
      <c r="Y49" s="297">
        <f ca="1">IF(AND(Y$22=TRUE,INDEX(CDRANGE_CLS3,MATCH($A49,$A$24:$A$67,0),MATCH(Y$20,$B$20:$G$20,0))&lt;$D$6/OPDAYS_Cls3),86,payback(C49,T49,disc_rate/12,85))</f>
        <v>4</v>
      </c>
      <c r="Z49" s="298">
        <f ca="1">IF(AND(Z$22=TRUE,INDEX(CDRANGE_CLS3,MATCH($A49,$A$24:$A$67,0),MATCH(Z$20,$B$20:$G$20,0))&lt;$D$6/OPDAYS_Cls3),86,payback(D49,U49,disc_rate/12,85))</f>
        <v>3</v>
      </c>
      <c r="AA49" s="298">
        <f ca="1">IF(AND(AA$22=TRUE,INDEX(CDRANGE_CLS3,MATCH($A49,$A$24:$A$67,0),MATCH(AA$20,$B$20:$G$20,0))&lt;$D$6/OPDAYS_Cls3),86,payback(E49,V49,disc_rate/12,85))</f>
        <v>5</v>
      </c>
      <c r="AB49" s="298">
        <f ca="1">IF(AND(AB$22=TRUE,INDEX(CDRANGE_CLS3,MATCH($A49,$A$24:$A$67,0),MATCH(AB$20,$B$20:$G$20,0))&lt;$D$6/OPDAYS_Cls3),86,payback(F49,W49,disc_rate/12,85))</f>
        <v>14</v>
      </c>
      <c r="AC49" s="299">
        <f>IF(AND(AC$22=TRUE,INDEX(CDRANGE_CLS3,MATCH($A49,$A$24:$A$67,0),MATCH(AC$20,$B$20:$G$20,0))&lt;$D$6/OPDAYS_Cls3),86,payback(G49,X49,disc_rate/12,85))</f>
        <v>86</v>
      </c>
      <c r="AD49" s="314">
        <f t="shared" si="43"/>
        <v>0</v>
      </c>
      <c r="AE49" s="315">
        <f t="shared" si="44"/>
        <v>0</v>
      </c>
      <c r="AF49" s="315">
        <f t="shared" si="45"/>
        <v>0</v>
      </c>
      <c r="AG49" s="315">
        <f t="shared" si="46"/>
        <v>0</v>
      </c>
      <c r="AH49" s="316">
        <f t="shared" si="47"/>
        <v>0</v>
      </c>
      <c r="AI49" s="695">
        <f t="shared" si="48"/>
        <v>0.4995444744027997</v>
      </c>
      <c r="AJ49" s="318">
        <f t="shared" si="49"/>
        <v>0.4995444744027997</v>
      </c>
      <c r="AK49" s="318">
        <f t="shared" si="50"/>
        <v>0.4995444744027997</v>
      </c>
      <c r="AL49" s="318">
        <f t="shared" si="51"/>
        <v>0.4995444744027997</v>
      </c>
      <c r="AM49" s="698">
        <f t="shared" si="52"/>
        <v>0.34448045315213899</v>
      </c>
      <c r="AN49" s="317">
        <f t="shared" si="65"/>
        <v>0.99294537435345864</v>
      </c>
      <c r="AO49" s="318">
        <f t="shared" si="65"/>
        <v>0.99276586905801067</v>
      </c>
      <c r="AP49" s="318">
        <f t="shared" si="65"/>
        <v>0.97080837105655371</v>
      </c>
      <c r="AQ49" s="318">
        <f t="shared" si="65"/>
        <v>0.79763950156354513</v>
      </c>
      <c r="AR49" s="698">
        <f t="shared" si="65"/>
        <v>0.64566763023380003</v>
      </c>
      <c r="AS49" s="314">
        <f t="shared" ca="1" si="54"/>
        <v>0.9990889488055994</v>
      </c>
      <c r="AT49" s="315">
        <f t="shared" ca="1" si="55"/>
        <v>0.9990889488055994</v>
      </c>
      <c r="AU49" s="315">
        <f t="shared" ca="1" si="56"/>
        <v>0.9990889488055994</v>
      </c>
      <c r="AV49" s="315">
        <f t="shared" ca="1" si="57"/>
        <v>0.86994436704802736</v>
      </c>
      <c r="AW49" s="316">
        <f t="shared" si="58"/>
        <v>0</v>
      </c>
      <c r="AX49" s="314">
        <f t="shared" ca="1" si="59"/>
        <v>0.99204075028417937</v>
      </c>
      <c r="AY49" s="315">
        <f t="shared" ca="1" si="59"/>
        <v>0.99186140852724525</v>
      </c>
      <c r="AZ49" s="315">
        <f t="shared" ca="1" si="59"/>
        <v>0.96992391493056851</v>
      </c>
      <c r="BA49" s="315">
        <f t="shared" ca="1" si="59"/>
        <v>0.69390199132020225</v>
      </c>
      <c r="BB49" s="316">
        <f t="shared" si="59"/>
        <v>0</v>
      </c>
      <c r="BC49" s="314">
        <f t="shared" ca="1" si="66"/>
        <v>7.9592497158205155E-3</v>
      </c>
      <c r="BD49" s="315">
        <f t="shared" ca="1" si="60"/>
        <v>0.26979666046120615</v>
      </c>
      <c r="BE49" s="315">
        <f t="shared" ca="1" si="61"/>
        <v>0.26974788644956582</v>
      </c>
      <c r="BF49" s="315">
        <f t="shared" ca="1" si="62"/>
        <v>0.26378173787192211</v>
      </c>
      <c r="BG49" s="315">
        <f t="shared" ca="1" si="63"/>
        <v>0.18871446550148535</v>
      </c>
      <c r="BH49" s="316">
        <f t="shared" ca="1" si="64"/>
        <v>0</v>
      </c>
    </row>
    <row r="50" spans="1:60" x14ac:dyDescent="0.2">
      <c r="A50" s="335">
        <v>2033</v>
      </c>
      <c r="B50" s="925">
        <f t="shared" si="69"/>
        <v>100224.6</v>
      </c>
      <c r="C50" s="926">
        <f t="shared" si="69"/>
        <v>5059.7700000000004</v>
      </c>
      <c r="D50" s="926">
        <f t="shared" si="69"/>
        <v>5123.97</v>
      </c>
      <c r="E50" s="926">
        <f t="shared" si="69"/>
        <v>10624.71</v>
      </c>
      <c r="F50" s="926">
        <f t="shared" si="69"/>
        <v>26722.81</v>
      </c>
      <c r="G50" s="927">
        <f t="shared" si="69"/>
        <v>35850.31</v>
      </c>
      <c r="H50" s="886">
        <f t="shared" si="70"/>
        <v>1</v>
      </c>
      <c r="I50" s="887">
        <f t="shared" si="70"/>
        <v>1</v>
      </c>
      <c r="J50" s="887">
        <f t="shared" si="70"/>
        <v>1</v>
      </c>
      <c r="K50" s="887">
        <f t="shared" si="70"/>
        <v>1</v>
      </c>
      <c r="L50" s="887">
        <f t="shared" si="70"/>
        <v>0.82604956842085742</v>
      </c>
      <c r="M50" s="888">
        <f t="shared" si="70"/>
        <v>1</v>
      </c>
      <c r="N50" s="833">
        <f t="shared" si="32"/>
        <v>8976.1602229073233</v>
      </c>
      <c r="O50" s="294">
        <f t="shared" si="33"/>
        <v>7581.8507906075556</v>
      </c>
      <c r="P50" s="294">
        <f t="shared" si="34"/>
        <v>7153.3592240306598</v>
      </c>
      <c r="Q50" s="294">
        <f t="shared" si="35"/>
        <v>6477.1091681192047</v>
      </c>
      <c r="R50" s="294">
        <f t="shared" si="36"/>
        <v>6625.3293863855179</v>
      </c>
      <c r="S50" s="296">
        <f t="shared" si="37"/>
        <v>7765.2186487207127</v>
      </c>
      <c r="T50" s="834">
        <f t="shared" si="38"/>
        <v>1394.3094322997676</v>
      </c>
      <c r="U50" s="308">
        <f t="shared" si="39"/>
        <v>1822.8009988766635</v>
      </c>
      <c r="V50" s="308">
        <f t="shared" si="40"/>
        <v>2499.0510547881186</v>
      </c>
      <c r="W50" s="308">
        <f t="shared" si="41"/>
        <v>2350.8308365218054</v>
      </c>
      <c r="X50" s="309">
        <f t="shared" si="42"/>
        <v>1210.9415741866105</v>
      </c>
      <c r="Y50" s="297">
        <f ca="1">IF(AND(Y$22=TRUE,INDEX(CDRANGE_CLS3,MATCH($A50,$A$24:$A$67,0),MATCH(Y$20,$B$20:$G$20,0))&lt;$D$6/OPDAYS_Cls3),86,payback(C50,T50,disc_rate/12,85))</f>
        <v>4</v>
      </c>
      <c r="Z50" s="298">
        <f ca="1">IF(AND(Z$22=TRUE,INDEX(CDRANGE_CLS3,MATCH($A50,$A$24:$A$67,0),MATCH(Z$20,$B$20:$G$20,0))&lt;$D$6/OPDAYS_Cls3),86,payback(D50,U50,disc_rate/12,85))</f>
        <v>3</v>
      </c>
      <c r="AA50" s="298">
        <f ca="1">IF(AND(AA$22=TRUE,INDEX(CDRANGE_CLS3,MATCH($A50,$A$24:$A$67,0),MATCH(AA$20,$B$20:$G$20,0))&lt;$D$6/OPDAYS_Cls3),86,payback(E50,V50,disc_rate/12,85))</f>
        <v>5</v>
      </c>
      <c r="AB50" s="298">
        <f ca="1">IF(AND(AB$22=TRUE,INDEX(CDRANGE_CLS3,MATCH($A50,$A$24:$A$67,0),MATCH(AB$20,$B$20:$G$20,0))&lt;$D$6/OPDAYS_Cls3),86,payback(F50,W50,disc_rate/12,85))</f>
        <v>12</v>
      </c>
      <c r="AC50" s="299">
        <f>IF(AND(AC$22=TRUE,INDEX(CDRANGE_CLS3,MATCH($A50,$A$24:$A$67,0),MATCH(AC$20,$B$20:$G$20,0))&lt;$D$6/OPDAYS_Cls3),86,payback(G50,X50,disc_rate/12,85))</f>
        <v>86</v>
      </c>
      <c r="AD50" s="314">
        <f t="shared" si="43"/>
        <v>0</v>
      </c>
      <c r="AE50" s="315">
        <f t="shared" si="44"/>
        <v>0</v>
      </c>
      <c r="AF50" s="315">
        <f t="shared" si="45"/>
        <v>0</v>
      </c>
      <c r="AG50" s="315">
        <f t="shared" si="46"/>
        <v>0</v>
      </c>
      <c r="AH50" s="316">
        <f t="shared" si="47"/>
        <v>0</v>
      </c>
      <c r="AI50" s="695">
        <f t="shared" si="48"/>
        <v>0.49983232493476681</v>
      </c>
      <c r="AJ50" s="318">
        <f t="shared" si="49"/>
        <v>0.49983232493476681</v>
      </c>
      <c r="AK50" s="318">
        <f t="shared" si="50"/>
        <v>0.49983232493476681</v>
      </c>
      <c r="AL50" s="318">
        <f t="shared" si="51"/>
        <v>0.49983232493476681</v>
      </c>
      <c r="AM50" s="698">
        <f t="shared" si="52"/>
        <v>0.37160768412147255</v>
      </c>
      <c r="AN50" s="317">
        <f t="shared" si="65"/>
        <v>0.99294537435345864</v>
      </c>
      <c r="AO50" s="318">
        <f t="shared" si="65"/>
        <v>0.99276586905801067</v>
      </c>
      <c r="AP50" s="318">
        <f t="shared" si="65"/>
        <v>0.96926578811608588</v>
      </c>
      <c r="AQ50" s="318">
        <f t="shared" si="65"/>
        <v>0.82080030167421136</v>
      </c>
      <c r="AR50" s="698">
        <f t="shared" si="65"/>
        <v>0.70088313960597415</v>
      </c>
      <c r="AS50" s="314">
        <f t="shared" ca="1" si="54"/>
        <v>0.99966464986953363</v>
      </c>
      <c r="AT50" s="315">
        <f t="shared" ca="1" si="55"/>
        <v>0.99966464986953363</v>
      </c>
      <c r="AU50" s="315">
        <f t="shared" ca="1" si="56"/>
        <v>0.99966464986953363</v>
      </c>
      <c r="AV50" s="315">
        <f t="shared" ca="1" si="57"/>
        <v>0.9205309546459961</v>
      </c>
      <c r="AW50" s="316">
        <f t="shared" si="58"/>
        <v>0</v>
      </c>
      <c r="AX50" s="314">
        <f t="shared" ca="1" si="59"/>
        <v>0.99261238999262325</v>
      </c>
      <c r="AY50" s="315">
        <f t="shared" ca="1" si="59"/>
        <v>0.99243294489429956</v>
      </c>
      <c r="AZ50" s="315">
        <f t="shared" ca="1" si="59"/>
        <v>0.96894074470758451</v>
      </c>
      <c r="BA50" s="315">
        <f t="shared" ca="1" si="59"/>
        <v>0.75557208527388342</v>
      </c>
      <c r="BB50" s="316">
        <f t="shared" si="59"/>
        <v>0</v>
      </c>
      <c r="BC50" s="314">
        <f t="shared" ca="1" si="66"/>
        <v>7.3876100073767548E-3</v>
      </c>
      <c r="BD50" s="315">
        <f t="shared" ca="1" si="60"/>
        <v>0.26560558238391274</v>
      </c>
      <c r="BE50" s="315">
        <f t="shared" ca="1" si="61"/>
        <v>0.26555756603802921</v>
      </c>
      <c r="BF50" s="315">
        <f t="shared" ca="1" si="62"/>
        <v>0.25927146727986411</v>
      </c>
      <c r="BG50" s="315">
        <f t="shared" ca="1" si="63"/>
        <v>0.20217777429081721</v>
      </c>
      <c r="BH50" s="316">
        <f t="shared" ca="1" si="64"/>
        <v>0</v>
      </c>
    </row>
    <row r="51" spans="1:60" x14ac:dyDescent="0.2">
      <c r="A51" s="335">
        <v>2034</v>
      </c>
      <c r="B51" s="925">
        <f t="shared" si="69"/>
        <v>100224.6</v>
      </c>
      <c r="C51" s="926">
        <f t="shared" si="69"/>
        <v>5059.7700000000004</v>
      </c>
      <c r="D51" s="926">
        <f t="shared" si="69"/>
        <v>5123.97</v>
      </c>
      <c r="E51" s="926">
        <f t="shared" si="69"/>
        <v>10898.86</v>
      </c>
      <c r="F51" s="926">
        <f t="shared" si="69"/>
        <v>24851.64</v>
      </c>
      <c r="G51" s="927">
        <f t="shared" si="69"/>
        <v>31926.560000000001</v>
      </c>
      <c r="H51" s="886">
        <f t="shared" si="70"/>
        <v>1</v>
      </c>
      <c r="I51" s="887">
        <f t="shared" si="70"/>
        <v>1</v>
      </c>
      <c r="J51" s="887">
        <f t="shared" si="70"/>
        <v>1</v>
      </c>
      <c r="K51" s="887">
        <f t="shared" si="70"/>
        <v>1</v>
      </c>
      <c r="L51" s="887">
        <f t="shared" si="70"/>
        <v>0.82533408665805053</v>
      </c>
      <c r="M51" s="888">
        <f t="shared" si="70"/>
        <v>1</v>
      </c>
      <c r="N51" s="833">
        <f t="shared" si="32"/>
        <v>8987.3818999780397</v>
      </c>
      <c r="O51" s="294">
        <f t="shared" si="33"/>
        <v>7591.3293514907955</v>
      </c>
      <c r="P51" s="294">
        <f t="shared" si="34"/>
        <v>7162.3020999586124</v>
      </c>
      <c r="Q51" s="294">
        <f t="shared" si="35"/>
        <v>6422.5718515035978</v>
      </c>
      <c r="R51" s="294">
        <f t="shared" si="36"/>
        <v>6532.3323932104195</v>
      </c>
      <c r="S51" s="296">
        <f t="shared" si="37"/>
        <v>7665.0327581454821</v>
      </c>
      <c r="T51" s="834">
        <f t="shared" si="38"/>
        <v>1396.0525484872442</v>
      </c>
      <c r="U51" s="308">
        <f t="shared" si="39"/>
        <v>1825.0798000194272</v>
      </c>
      <c r="V51" s="308">
        <f t="shared" si="40"/>
        <v>2564.8100484744418</v>
      </c>
      <c r="W51" s="308">
        <f t="shared" si="41"/>
        <v>2455.0495067676202</v>
      </c>
      <c r="X51" s="309">
        <f t="shared" si="42"/>
        <v>1322.3491418325575</v>
      </c>
      <c r="Y51" s="297">
        <f ca="1">IF(AND(Y$22=TRUE,INDEX(CDRANGE_CLS3,MATCH($A51,$A$24:$A$67,0),MATCH(Y$20,$B$20:$G$20,0))&lt;$D$6/OPDAYS_Cls3),86,payback(C51,T51,disc_rate/12,85))</f>
        <v>4</v>
      </c>
      <c r="Z51" s="298">
        <f ca="1">IF(AND(Z$22=TRUE,INDEX(CDRANGE_CLS3,MATCH($A51,$A$24:$A$67,0),MATCH(Z$20,$B$20:$G$20,0))&lt;$D$6/OPDAYS_Cls3),86,payback(D51,U51,disc_rate/12,85))</f>
        <v>3</v>
      </c>
      <c r="AA51" s="298">
        <f ca="1">IF(AND(AA$22=TRUE,INDEX(CDRANGE_CLS3,MATCH($A51,$A$24:$A$67,0),MATCH(AA$20,$B$20:$G$20,0))&lt;$D$6/OPDAYS_Cls3),86,payback(E51,V51,disc_rate/12,85))</f>
        <v>5</v>
      </c>
      <c r="AB51" s="298">
        <f ca="1">IF(AND(AB$22=TRUE,INDEX(CDRANGE_CLS3,MATCH($A51,$A$24:$A$67,0),MATCH(AB$20,$B$20:$G$20,0))&lt;$D$6/OPDAYS_Cls3),86,payback(F51,W51,disc_rate/12,85))</f>
        <v>11</v>
      </c>
      <c r="AC51" s="299">
        <f>IF(AND(AC$22=TRUE,INDEX(CDRANGE_CLS3,MATCH($A51,$A$24:$A$67,0),MATCH(AC$20,$B$20:$G$20,0))&lt;$D$6/OPDAYS_Cls3),86,payback(G51,X51,disc_rate/12,85))</f>
        <v>86</v>
      </c>
      <c r="AD51" s="314">
        <f t="shared" si="43"/>
        <v>0</v>
      </c>
      <c r="AE51" s="315">
        <f t="shared" si="44"/>
        <v>0</v>
      </c>
      <c r="AF51" s="315">
        <f t="shared" si="45"/>
        <v>0</v>
      </c>
      <c r="AG51" s="315">
        <f t="shared" si="46"/>
        <v>0</v>
      </c>
      <c r="AH51" s="316">
        <f t="shared" si="47"/>
        <v>0</v>
      </c>
      <c r="AI51" s="695">
        <f t="shared" si="48"/>
        <v>0.49993830271200684</v>
      </c>
      <c r="AJ51" s="318">
        <f t="shared" si="49"/>
        <v>0.49993830271200684</v>
      </c>
      <c r="AK51" s="318">
        <f t="shared" si="50"/>
        <v>0.49993830271200684</v>
      </c>
      <c r="AL51" s="318">
        <f t="shared" si="51"/>
        <v>0.49993830271200684</v>
      </c>
      <c r="AM51" s="698">
        <f t="shared" si="52"/>
        <v>0.3962939517576638</v>
      </c>
      <c r="AN51" s="317">
        <f t="shared" si="65"/>
        <v>0.99294537435345864</v>
      </c>
      <c r="AO51" s="318">
        <f t="shared" si="65"/>
        <v>0.99276586905801067</v>
      </c>
      <c r="AP51" s="318">
        <f t="shared" si="65"/>
        <v>0.96768548645322627</v>
      </c>
      <c r="AQ51" s="318">
        <f t="shared" si="65"/>
        <v>0.84299974321916971</v>
      </c>
      <c r="AR51" s="698">
        <f t="shared" si="65"/>
        <v>0.75436967323130277</v>
      </c>
      <c r="AS51" s="314">
        <f t="shared" ca="1" si="54"/>
        <v>0.99987660542401369</v>
      </c>
      <c r="AT51" s="315">
        <f t="shared" ca="1" si="55"/>
        <v>0.99987660542401369</v>
      </c>
      <c r="AU51" s="315">
        <f t="shared" ca="1" si="56"/>
        <v>0.99987660542401369</v>
      </c>
      <c r="AV51" s="315">
        <f t="shared" ca="1" si="57"/>
        <v>0.94221614744634519</v>
      </c>
      <c r="AW51" s="316">
        <f t="shared" si="58"/>
        <v>0</v>
      </c>
      <c r="AX51" s="314">
        <f t="shared" ca="1" si="59"/>
        <v>0.99282285028001271</v>
      </c>
      <c r="AY51" s="315">
        <f t="shared" ca="1" si="59"/>
        <v>0.9926433671345446</v>
      </c>
      <c r="AZ51" s="315">
        <f t="shared" ca="1" si="59"/>
        <v>0.96756607931293725</v>
      </c>
      <c r="BA51" s="315">
        <f t="shared" ca="1" si="59"/>
        <v>0.79428797035422438</v>
      </c>
      <c r="BB51" s="316">
        <f t="shared" si="59"/>
        <v>0</v>
      </c>
      <c r="BC51" s="314">
        <f t="shared" ca="1" si="66"/>
        <v>7.1771497199872858E-3</v>
      </c>
      <c r="BD51" s="315">
        <f t="shared" ca="1" si="60"/>
        <v>0.26304055746101329</v>
      </c>
      <c r="BE51" s="315">
        <f t="shared" ca="1" si="61"/>
        <v>0.26299300482196447</v>
      </c>
      <c r="BF51" s="315">
        <f t="shared" ca="1" si="62"/>
        <v>0.25634897586317745</v>
      </c>
      <c r="BG51" s="315">
        <f t="shared" ca="1" si="63"/>
        <v>0.21044031213385755</v>
      </c>
      <c r="BH51" s="316">
        <f t="shared" ca="1" si="64"/>
        <v>0</v>
      </c>
    </row>
    <row r="52" spans="1:60" ht="13.5" thickBot="1" x14ac:dyDescent="0.25">
      <c r="A52" s="320">
        <v>2035</v>
      </c>
      <c r="B52" s="928">
        <f t="shared" si="69"/>
        <v>100224.6</v>
      </c>
      <c r="C52" s="929">
        <f t="shared" si="69"/>
        <v>5059.7700000000004</v>
      </c>
      <c r="D52" s="929">
        <f t="shared" si="69"/>
        <v>5123.97</v>
      </c>
      <c r="E52" s="929">
        <f t="shared" si="69"/>
        <v>11173.01</v>
      </c>
      <c r="F52" s="929">
        <f t="shared" si="69"/>
        <v>22980.47</v>
      </c>
      <c r="G52" s="930">
        <f t="shared" si="69"/>
        <v>28002.81</v>
      </c>
      <c r="H52" s="886">
        <f t="shared" si="70"/>
        <v>1</v>
      </c>
      <c r="I52" s="887">
        <f t="shared" si="70"/>
        <v>1</v>
      </c>
      <c r="J52" s="887">
        <f t="shared" si="70"/>
        <v>1</v>
      </c>
      <c r="K52" s="887">
        <f t="shared" si="70"/>
        <v>1</v>
      </c>
      <c r="L52" s="887">
        <f t="shared" si="70"/>
        <v>0.82461860489524352</v>
      </c>
      <c r="M52" s="888">
        <f t="shared" si="70"/>
        <v>1</v>
      </c>
      <c r="N52" s="989">
        <f t="shared" si="32"/>
        <v>9055.411481697658</v>
      </c>
      <c r="O52" s="884">
        <f t="shared" si="33"/>
        <v>7648.7915764440995</v>
      </c>
      <c r="P52" s="884">
        <f t="shared" si="34"/>
        <v>7216.5168224920944</v>
      </c>
      <c r="Q52" s="884">
        <f t="shared" si="35"/>
        <v>6409.2857023430279</v>
      </c>
      <c r="R52" s="884">
        <f t="shared" si="36"/>
        <v>6473.2919941327127</v>
      </c>
      <c r="S52" s="885">
        <f t="shared" si="37"/>
        <v>7558.7692136803171</v>
      </c>
      <c r="T52" s="837">
        <f t="shared" si="38"/>
        <v>1406.6199052535585</v>
      </c>
      <c r="U52" s="322">
        <f t="shared" si="39"/>
        <v>1838.8946592055636</v>
      </c>
      <c r="V52" s="322">
        <f t="shared" si="40"/>
        <v>2646.1257793546301</v>
      </c>
      <c r="W52" s="322">
        <f t="shared" si="41"/>
        <v>2582.1194875649453</v>
      </c>
      <c r="X52" s="323">
        <f t="shared" si="42"/>
        <v>1496.6422680173409</v>
      </c>
      <c r="Y52" s="994">
        <f ca="1">IF(AND(Y$22=TRUE,INDEX(CDRANGE_CLS3,MATCH($A52,$A$24:$A$67,0),MATCH(Y$20,$B$20:$G$20,0))&lt;$D$6/OPDAYS_Cls3),86,payback(C52,T52,disc_rate/12,85))</f>
        <v>4</v>
      </c>
      <c r="Z52" s="995">
        <f ca="1">IF(AND(Z$22=TRUE,INDEX(CDRANGE_CLS3,MATCH($A52,$A$24:$A$67,0),MATCH(Z$20,$B$20:$G$20,0))&lt;$D$6/OPDAYS_Cls3),86,payback(D52,U52,disc_rate/12,85))</f>
        <v>3</v>
      </c>
      <c r="AA52" s="995">
        <f ca="1">IF(AND(AA$22=TRUE,INDEX(CDRANGE_CLS3,MATCH($A52,$A$24:$A$67,0),MATCH(AA$20,$B$20:$G$20,0))&lt;$D$6/OPDAYS_Cls3),86,payback(E52,V52,disc_rate/12,85))</f>
        <v>5</v>
      </c>
      <c r="AB52" s="995">
        <f ca="1">IF(AND(AB$22=TRUE,INDEX(CDRANGE_CLS3,MATCH($A52,$A$24:$A$67,0),MATCH(AB$20,$B$20:$G$20,0))&lt;$D$6/OPDAYS_Cls3),86,payback(F52,W52,disc_rate/12,85))</f>
        <v>10</v>
      </c>
      <c r="AC52" s="996">
        <f>IF(AND(AC$22=TRUE,INDEX(CDRANGE_CLS3,MATCH($A52,$A$24:$A$67,0),MATCH(AC$20,$B$20:$G$20,0))&lt;$D$6/OPDAYS_Cls3),86,payback(G52,X52,disc_rate/12,85))</f>
        <v>86</v>
      </c>
      <c r="AD52" s="328">
        <f t="shared" si="43"/>
        <v>0</v>
      </c>
      <c r="AE52" s="329">
        <f t="shared" si="44"/>
        <v>0</v>
      </c>
      <c r="AF52" s="329">
        <f t="shared" si="45"/>
        <v>0</v>
      </c>
      <c r="AG52" s="329">
        <f t="shared" si="46"/>
        <v>0</v>
      </c>
      <c r="AH52" s="330">
        <f t="shared" si="47"/>
        <v>0</v>
      </c>
      <c r="AI52" s="696">
        <f t="shared" si="48"/>
        <v>0.4999773010656488</v>
      </c>
      <c r="AJ52" s="332">
        <f t="shared" si="49"/>
        <v>0.4999773010656488</v>
      </c>
      <c r="AK52" s="332">
        <f t="shared" si="50"/>
        <v>0.4999773010656488</v>
      </c>
      <c r="AL52" s="332">
        <f t="shared" si="51"/>
        <v>0.4999773010656488</v>
      </c>
      <c r="AM52" s="699">
        <f t="shared" si="52"/>
        <v>0.42804071804417687</v>
      </c>
      <c r="AN52" s="331">
        <f t="shared" si="65"/>
        <v>0.99294537435345864</v>
      </c>
      <c r="AO52" s="332">
        <f t="shared" si="65"/>
        <v>0.99276586905801067</v>
      </c>
      <c r="AP52" s="332">
        <f t="shared" si="65"/>
        <v>0.96606760335003594</v>
      </c>
      <c r="AQ52" s="332">
        <f t="shared" si="65"/>
        <v>0.86412464128238686</v>
      </c>
      <c r="AR52" s="699">
        <f t="shared" si="65"/>
        <v>0.80505367762082769</v>
      </c>
      <c r="AS52" s="328">
        <f t="shared" ca="1" si="54"/>
        <v>0.99995460213129761</v>
      </c>
      <c r="AT52" s="329">
        <f t="shared" ca="1" si="55"/>
        <v>0.99995460213129761</v>
      </c>
      <c r="AU52" s="329">
        <f t="shared" ca="1" si="56"/>
        <v>0.99995460213129761</v>
      </c>
      <c r="AV52" s="329">
        <f t="shared" ca="1" si="57"/>
        <v>0.96098686319174376</v>
      </c>
      <c r="AW52" s="330">
        <f t="shared" si="58"/>
        <v>0</v>
      </c>
      <c r="AX52" s="328">
        <f t="shared" ca="1" si="59"/>
        <v>0.99290029674972513</v>
      </c>
      <c r="AY52" s="329">
        <f t="shared" ca="1" si="59"/>
        <v>0.99272079960343496</v>
      </c>
      <c r="AZ52" s="329">
        <f t="shared" ca="1" si="59"/>
        <v>0.96602374593982143</v>
      </c>
      <c r="BA52" s="329">
        <f t="shared" ca="1" si="59"/>
        <v>0.83041242843265173</v>
      </c>
      <c r="BB52" s="330">
        <f t="shared" si="59"/>
        <v>0</v>
      </c>
      <c r="BC52" s="328">
        <f t="shared" ca="1" si="66"/>
        <v>7.0997032502748691E-3</v>
      </c>
      <c r="BD52" s="329">
        <f t="shared" ca="1" si="60"/>
        <v>0.26066527519731214</v>
      </c>
      <c r="BE52" s="329">
        <f t="shared" ca="1" si="61"/>
        <v>0.26061815196329952</v>
      </c>
      <c r="BF52" s="329">
        <f t="shared" ca="1" si="62"/>
        <v>0.25360939704302848</v>
      </c>
      <c r="BG52" s="329">
        <f t="shared" ca="1" si="63"/>
        <v>0.21800747254608505</v>
      </c>
      <c r="BH52" s="330">
        <f t="shared" ca="1" si="64"/>
        <v>0</v>
      </c>
    </row>
    <row r="53" spans="1:60" x14ac:dyDescent="0.2">
      <c r="A53" s="334">
        <v>2036</v>
      </c>
      <c r="B53" s="931">
        <f t="shared" si="69"/>
        <v>100224.6</v>
      </c>
      <c r="C53" s="932">
        <f t="shared" si="69"/>
        <v>5059.7700000000004</v>
      </c>
      <c r="D53" s="932">
        <f t="shared" si="69"/>
        <v>5123.97</v>
      </c>
      <c r="E53" s="932">
        <f t="shared" si="69"/>
        <v>11472.42</v>
      </c>
      <c r="F53" s="932">
        <f t="shared" si="69"/>
        <v>22995.14</v>
      </c>
      <c r="G53" s="933">
        <f t="shared" si="69"/>
        <v>27642.7</v>
      </c>
      <c r="H53" s="886">
        <f t="shared" si="70"/>
        <v>1</v>
      </c>
      <c r="I53" s="887">
        <f t="shared" si="70"/>
        <v>1</v>
      </c>
      <c r="J53" s="887">
        <f t="shared" si="70"/>
        <v>1</v>
      </c>
      <c r="K53" s="887">
        <f t="shared" si="70"/>
        <v>1</v>
      </c>
      <c r="L53" s="887">
        <f t="shared" si="70"/>
        <v>0.82428969850961065</v>
      </c>
      <c r="M53" s="888">
        <f t="shared" si="70"/>
        <v>1</v>
      </c>
      <c r="N53" s="833">
        <f t="shared" si="32"/>
        <v>9160.2108309000723</v>
      </c>
      <c r="O53" s="294">
        <f t="shared" si="33"/>
        <v>7737.3119469448084</v>
      </c>
      <c r="P53" s="294">
        <f t="shared" si="34"/>
        <v>7300.0344260857037</v>
      </c>
      <c r="Q53" s="294">
        <f t="shared" si="35"/>
        <v>6483.4611246101967</v>
      </c>
      <c r="R53" s="294">
        <f t="shared" si="36"/>
        <v>6496.7502442398873</v>
      </c>
      <c r="S53" s="296">
        <f t="shared" si="37"/>
        <v>7518.1825947889774</v>
      </c>
      <c r="T53" s="833">
        <f t="shared" si="38"/>
        <v>1422.898883955264</v>
      </c>
      <c r="U53" s="294">
        <f t="shared" si="39"/>
        <v>1860.1764048143687</v>
      </c>
      <c r="V53" s="294">
        <f t="shared" si="40"/>
        <v>2676.7497062898756</v>
      </c>
      <c r="W53" s="294">
        <f t="shared" si="41"/>
        <v>2663.4605866601851</v>
      </c>
      <c r="X53" s="295">
        <f t="shared" si="42"/>
        <v>1642.0282361110949</v>
      </c>
      <c r="Y53" s="297">
        <f ca="1">IF(AND(Y$22=TRUE,INDEX(CDRANGE_CLS3,MATCH($A53,$A$24:$A$67,0),MATCH(Y$20,$B$20:$G$20,0))&lt;$D$6/OPDAYS_Cls3),86,payback(C53,T53,disc_rate/12,85))</f>
        <v>4</v>
      </c>
      <c r="Z53" s="298">
        <f ca="1">IF(AND(Z$22=TRUE,INDEX(CDRANGE_CLS3,MATCH($A53,$A$24:$A$67,0),MATCH(Z$20,$B$20:$G$20,0))&lt;$D$6/OPDAYS_Cls3),86,payback(D53,U53,disc_rate/12,85))</f>
        <v>3</v>
      </c>
      <c r="AA53" s="298">
        <f ca="1">IF(AND(AA$22=TRUE,INDEX(CDRANGE_CLS3,MATCH($A53,$A$24:$A$67,0),MATCH(AA$20,$B$20:$G$20,0))&lt;$D$6/OPDAYS_Cls3),86,payback(E53,V53,disc_rate/12,85))</f>
        <v>5</v>
      </c>
      <c r="AB53" s="298">
        <f ca="1">IF(AND(AB$22=TRUE,INDEX(CDRANGE_CLS3,MATCH($A53,$A$24:$A$67,0),MATCH(AB$20,$B$20:$G$20,0))&lt;$D$6/OPDAYS_Cls3),86,payback(F53,W53,disc_rate/12,85))</f>
        <v>9</v>
      </c>
      <c r="AC53" s="299">
        <f>IF(AND(AC$22=TRUE,INDEX(CDRANGE_CLS3,MATCH($A53,$A$24:$A$67,0),MATCH(AC$20,$B$20:$G$20,0))&lt;$D$6/OPDAYS_Cls3),86,payback(G53,X53,disc_rate/12,85))</f>
        <v>86</v>
      </c>
      <c r="AD53" s="300">
        <f t="shared" si="43"/>
        <v>0</v>
      </c>
      <c r="AE53" s="301">
        <f t="shared" si="44"/>
        <v>0</v>
      </c>
      <c r="AF53" s="301">
        <f t="shared" si="45"/>
        <v>0</v>
      </c>
      <c r="AG53" s="301">
        <f t="shared" si="46"/>
        <v>0</v>
      </c>
      <c r="AH53" s="302">
        <f t="shared" si="47"/>
        <v>0</v>
      </c>
      <c r="AI53" s="694">
        <f t="shared" si="48"/>
        <v>0.49999164928907602</v>
      </c>
      <c r="AJ53" s="304">
        <f t="shared" si="49"/>
        <v>0.49999164928907602</v>
      </c>
      <c r="AK53" s="304">
        <f t="shared" si="50"/>
        <v>0.49999164928907602</v>
      </c>
      <c r="AL53" s="304">
        <f t="shared" si="51"/>
        <v>0.49999164928907602</v>
      </c>
      <c r="AM53" s="711">
        <f t="shared" si="52"/>
        <v>0.44543405951518961</v>
      </c>
      <c r="AN53" s="303">
        <f t="shared" si="65"/>
        <v>0.99294537435345864</v>
      </c>
      <c r="AO53" s="304">
        <f t="shared" si="65"/>
        <v>0.99276586905801067</v>
      </c>
      <c r="AP53" s="304">
        <f t="shared" si="65"/>
        <v>0.96425794685830035</v>
      </c>
      <c r="AQ53" s="304">
        <f t="shared" si="65"/>
        <v>0.86396348681853929</v>
      </c>
      <c r="AR53" s="711">
        <f t="shared" si="65"/>
        <v>0.80952713005094257</v>
      </c>
      <c r="AS53" s="300">
        <f t="shared" ca="1" si="54"/>
        <v>0.99998329857815205</v>
      </c>
      <c r="AT53" s="301">
        <f t="shared" ca="1" si="55"/>
        <v>0.99998329857815205</v>
      </c>
      <c r="AU53" s="301">
        <f t="shared" ca="1" si="56"/>
        <v>0.99998329857815205</v>
      </c>
      <c r="AV53" s="301">
        <f t="shared" ca="1" si="57"/>
        <v>0.97657886117638371</v>
      </c>
      <c r="AW53" s="302">
        <f t="shared" si="58"/>
        <v>0</v>
      </c>
      <c r="AX53" s="300">
        <f t="shared" ca="1" si="59"/>
        <v>0.99292879075388962</v>
      </c>
      <c r="AY53" s="301">
        <f t="shared" ca="1" si="59"/>
        <v>0.99274928845643529</v>
      </c>
      <c r="AZ53" s="301">
        <f t="shared" ca="1" si="59"/>
        <v>0.96424184237955968</v>
      </c>
      <c r="BA53" s="301">
        <f t="shared" ca="1" si="59"/>
        <v>0.84372847805522666</v>
      </c>
      <c r="BB53" s="302">
        <f t="shared" si="59"/>
        <v>0</v>
      </c>
      <c r="BC53" s="300">
        <f t="shared" ca="1" si="66"/>
        <v>7.0712092461104881E-3</v>
      </c>
      <c r="BD53" s="301">
        <f t="shared" ca="1" si="60"/>
        <v>0.25988375295934418</v>
      </c>
      <c r="BE53" s="301">
        <f t="shared" ca="1" si="61"/>
        <v>0.25983677100941815</v>
      </c>
      <c r="BF53" s="301">
        <f t="shared" ca="1" si="62"/>
        <v>0.25237538793468683</v>
      </c>
      <c r="BG53" s="301">
        <f t="shared" ca="1" si="63"/>
        <v>0.2208328788504404</v>
      </c>
      <c r="BH53" s="302">
        <f t="shared" ca="1" si="64"/>
        <v>0</v>
      </c>
    </row>
    <row r="54" spans="1:60" x14ac:dyDescent="0.2">
      <c r="A54" s="335">
        <v>2037</v>
      </c>
      <c r="B54" s="925">
        <f t="shared" ref="B54:G67" si="71">ROUND(INDEX(COST_Cls3,$A54-($A$24-1),MATCH(B$20,TECHOPTS_Cls3,0)),2)</f>
        <v>100224.6</v>
      </c>
      <c r="C54" s="926">
        <f t="shared" si="71"/>
        <v>5059.7700000000004</v>
      </c>
      <c r="D54" s="926">
        <f t="shared" si="71"/>
        <v>5123.97</v>
      </c>
      <c r="E54" s="926">
        <f t="shared" si="71"/>
        <v>11472.42</v>
      </c>
      <c r="F54" s="926">
        <f t="shared" si="71"/>
        <v>23009.81</v>
      </c>
      <c r="G54" s="927">
        <f t="shared" si="71"/>
        <v>27282.6</v>
      </c>
      <c r="H54" s="886">
        <f t="shared" ref="H54:M67" si="72">IF(H$21="Single-fuel",1,1-MIN(INDEX(CDRANGE_CLS3,$A54-($A$24-1),MATCH(H$20,TECHOPTS_Cls3,0))*OPDAYS_Cls3/$D$6,1))</f>
        <v>1</v>
      </c>
      <c r="I54" s="887">
        <f t="shared" si="72"/>
        <v>1</v>
      </c>
      <c r="J54" s="887">
        <f t="shared" si="72"/>
        <v>1</v>
      </c>
      <c r="K54" s="887">
        <f t="shared" si="72"/>
        <v>1</v>
      </c>
      <c r="L54" s="887">
        <f t="shared" si="72"/>
        <v>0.82396079212397788</v>
      </c>
      <c r="M54" s="888">
        <f t="shared" si="72"/>
        <v>1</v>
      </c>
      <c r="N54" s="833">
        <f t="shared" si="32"/>
        <v>9140.4981152832897</v>
      </c>
      <c r="O54" s="294">
        <f t="shared" si="33"/>
        <v>7720.661300702699</v>
      </c>
      <c r="P54" s="294">
        <f t="shared" si="34"/>
        <v>7284.3247982954008</v>
      </c>
      <c r="Q54" s="294">
        <f t="shared" si="35"/>
        <v>6469.5087573862047</v>
      </c>
      <c r="R54" s="294">
        <f t="shared" si="36"/>
        <v>6448.010533091755</v>
      </c>
      <c r="S54" s="296">
        <f t="shared" si="37"/>
        <v>7470.6084220780776</v>
      </c>
      <c r="T54" s="834">
        <f t="shared" si="38"/>
        <v>1419.8368145805907</v>
      </c>
      <c r="U54" s="308">
        <f t="shared" si="39"/>
        <v>1856.1733169878889</v>
      </c>
      <c r="V54" s="308">
        <f t="shared" si="40"/>
        <v>2670.989357897085</v>
      </c>
      <c r="W54" s="308">
        <f t="shared" si="41"/>
        <v>2692.4875821915348</v>
      </c>
      <c r="X54" s="309">
        <f t="shared" si="42"/>
        <v>1669.8896932052121</v>
      </c>
      <c r="Y54" s="297">
        <f ca="1">IF(AND(Y$22=TRUE,INDEX(CDRANGE_CLS3,MATCH($A54,$A$24:$A$67,0),MATCH(Y$20,$B$20:$G$20,0))&lt;$D$6/OPDAYS_Cls3),86,payback(C54,T54,disc_rate/12,85))</f>
        <v>4</v>
      </c>
      <c r="Z54" s="298">
        <f ca="1">IF(AND(Z$22=TRUE,INDEX(CDRANGE_CLS3,MATCH($A54,$A$24:$A$67,0),MATCH(Z$20,$B$20:$G$20,0))&lt;$D$6/OPDAYS_Cls3),86,payback(D54,U54,disc_rate/12,85))</f>
        <v>3</v>
      </c>
      <c r="AA54" s="298">
        <f ca="1">IF(AND(AA$22=TRUE,INDEX(CDRANGE_CLS3,MATCH($A54,$A$24:$A$67,0),MATCH(AA$20,$B$20:$G$20,0))&lt;$D$6/OPDAYS_Cls3),86,payback(E54,V54,disc_rate/12,85))</f>
        <v>5</v>
      </c>
      <c r="AB54" s="298">
        <f ca="1">IF(AND(AB$22=TRUE,INDEX(CDRANGE_CLS3,MATCH($A54,$A$24:$A$67,0),MATCH(AB$20,$B$20:$G$20,0))&lt;$D$6/OPDAYS_Cls3),86,payback(F54,W54,disc_rate/12,85))</f>
        <v>9</v>
      </c>
      <c r="AC54" s="299">
        <f>IF(AND(AC$22=TRUE,INDEX(CDRANGE_CLS3,MATCH($A54,$A$24:$A$67,0),MATCH(AC$20,$B$20:$G$20,0))&lt;$D$6/OPDAYS_Cls3),86,payback(G54,X54,disc_rate/12,85))</f>
        <v>86</v>
      </c>
      <c r="AD54" s="314">
        <f t="shared" si="43"/>
        <v>0</v>
      </c>
      <c r="AE54" s="315">
        <f t="shared" si="44"/>
        <v>0</v>
      </c>
      <c r="AF54" s="315">
        <f t="shared" si="45"/>
        <v>0</v>
      </c>
      <c r="AG54" s="315">
        <f t="shared" si="46"/>
        <v>0</v>
      </c>
      <c r="AH54" s="316">
        <f t="shared" si="47"/>
        <v>0</v>
      </c>
      <c r="AI54" s="695">
        <f t="shared" si="48"/>
        <v>0.4999969279126989</v>
      </c>
      <c r="AJ54" s="318">
        <f t="shared" si="49"/>
        <v>0.4999969279126989</v>
      </c>
      <c r="AK54" s="318">
        <f t="shared" si="50"/>
        <v>0.4999969279126989</v>
      </c>
      <c r="AL54" s="318">
        <f t="shared" si="51"/>
        <v>0.4999969279126989</v>
      </c>
      <c r="AM54" s="698">
        <f t="shared" si="52"/>
        <v>0.46586451718094984</v>
      </c>
      <c r="AN54" s="317">
        <f t="shared" si="65"/>
        <v>0.99294537435345864</v>
      </c>
      <c r="AO54" s="318">
        <f t="shared" si="65"/>
        <v>0.99276586905801067</v>
      </c>
      <c r="AP54" s="318">
        <f t="shared" si="65"/>
        <v>0.96425794685830035</v>
      </c>
      <c r="AQ54" s="318">
        <f t="shared" si="65"/>
        <v>0.86380225959483148</v>
      </c>
      <c r="AR54" s="698">
        <f t="shared" si="65"/>
        <v>0.81396693634352313</v>
      </c>
      <c r="AS54" s="314">
        <f t="shared" ca="1" si="54"/>
        <v>0.99999385582539779</v>
      </c>
      <c r="AT54" s="315">
        <f t="shared" ca="1" si="55"/>
        <v>0.99999385582539779</v>
      </c>
      <c r="AU54" s="315">
        <f t="shared" ca="1" si="56"/>
        <v>0.99999385582539779</v>
      </c>
      <c r="AV54" s="315">
        <f t="shared" ca="1" si="57"/>
        <v>0.97658917133307033</v>
      </c>
      <c r="AW54" s="316">
        <f t="shared" si="58"/>
        <v>0</v>
      </c>
      <c r="AX54" s="314">
        <f t="shared" ca="1" si="59"/>
        <v>0.99293927352370814</v>
      </c>
      <c r="AY54" s="315">
        <f t="shared" ca="1" si="59"/>
        <v>0.99275976933117205</v>
      </c>
      <c r="AZ54" s="315">
        <f t="shared" ca="1" si="59"/>
        <v>0.96425202228911333</v>
      </c>
      <c r="BA54" s="315">
        <f t="shared" ca="1" si="59"/>
        <v>0.8435799328933502</v>
      </c>
      <c r="BB54" s="316">
        <f t="shared" si="59"/>
        <v>0</v>
      </c>
      <c r="BC54" s="314">
        <f t="shared" ca="1" si="66"/>
        <v>7.0607264762919675E-3</v>
      </c>
      <c r="BD54" s="315">
        <f t="shared" ca="1" si="60"/>
        <v>0.25989728340585017</v>
      </c>
      <c r="BE54" s="315">
        <f t="shared" ca="1" si="61"/>
        <v>0.25985029900988149</v>
      </c>
      <c r="BF54" s="315">
        <f t="shared" ca="1" si="62"/>
        <v>0.25238852746975587</v>
      </c>
      <c r="BG54" s="315">
        <f t="shared" ca="1" si="63"/>
        <v>0.22080316363822053</v>
      </c>
      <c r="BH54" s="316">
        <f t="shared" ca="1" si="64"/>
        <v>0</v>
      </c>
    </row>
    <row r="55" spans="1:60" x14ac:dyDescent="0.2">
      <c r="A55" s="335">
        <v>2038</v>
      </c>
      <c r="B55" s="925">
        <f t="shared" si="71"/>
        <v>100224.6</v>
      </c>
      <c r="C55" s="926">
        <f t="shared" si="71"/>
        <v>5059.7700000000004</v>
      </c>
      <c r="D55" s="926">
        <f t="shared" si="71"/>
        <v>5123.97</v>
      </c>
      <c r="E55" s="926">
        <f t="shared" si="71"/>
        <v>11472.42</v>
      </c>
      <c r="F55" s="926">
        <f t="shared" si="71"/>
        <v>23024.48</v>
      </c>
      <c r="G55" s="927">
        <f t="shared" si="71"/>
        <v>26922.49</v>
      </c>
      <c r="H55" s="886">
        <f t="shared" si="72"/>
        <v>1</v>
      </c>
      <c r="I55" s="887">
        <f t="shared" si="72"/>
        <v>1</v>
      </c>
      <c r="J55" s="887">
        <f t="shared" si="72"/>
        <v>1</v>
      </c>
      <c r="K55" s="887">
        <f t="shared" si="72"/>
        <v>1</v>
      </c>
      <c r="L55" s="887">
        <f t="shared" si="72"/>
        <v>0.82363188573834512</v>
      </c>
      <c r="M55" s="888">
        <f t="shared" si="72"/>
        <v>1</v>
      </c>
      <c r="N55" s="833">
        <f t="shared" si="32"/>
        <v>9197.1494807619929</v>
      </c>
      <c r="O55" s="294">
        <f t="shared" si="33"/>
        <v>7768.5127415724319</v>
      </c>
      <c r="P55" s="294">
        <f t="shared" si="34"/>
        <v>7329.4718943517755</v>
      </c>
      <c r="Q55" s="294">
        <f t="shared" si="35"/>
        <v>6509.6057521516805</v>
      </c>
      <c r="R55" s="294">
        <f t="shared" si="36"/>
        <v>6432.3934730127876</v>
      </c>
      <c r="S55" s="296">
        <f t="shared" si="37"/>
        <v>7361.6669962861361</v>
      </c>
      <c r="T55" s="834">
        <f t="shared" si="38"/>
        <v>1428.636739189561</v>
      </c>
      <c r="U55" s="308">
        <f t="shared" si="39"/>
        <v>1867.6775864102174</v>
      </c>
      <c r="V55" s="308">
        <f t="shared" si="40"/>
        <v>2687.5437286103124</v>
      </c>
      <c r="W55" s="308">
        <f t="shared" si="41"/>
        <v>2764.7560077492053</v>
      </c>
      <c r="X55" s="309">
        <f t="shared" si="42"/>
        <v>1835.4824844758568</v>
      </c>
      <c r="Y55" s="297">
        <f ca="1">IF(AND(Y$22=TRUE,INDEX(CDRANGE_CLS3,MATCH($A55,$A$24:$A$67,0),MATCH(Y$20,$B$20:$G$20,0))&lt;$D$6/OPDAYS_Cls3),86,payback(C55,T55,disc_rate/12,85))</f>
        <v>4</v>
      </c>
      <c r="Z55" s="298">
        <f ca="1">IF(AND(Z$22=TRUE,INDEX(CDRANGE_CLS3,MATCH($A55,$A$24:$A$67,0),MATCH(Z$20,$B$20:$G$20,0))&lt;$D$6/OPDAYS_Cls3),86,payback(D55,U55,disc_rate/12,85))</f>
        <v>3</v>
      </c>
      <c r="AA55" s="298">
        <f ca="1">IF(AND(AA$22=TRUE,INDEX(CDRANGE_CLS3,MATCH($A55,$A$24:$A$67,0),MATCH(AA$20,$B$20:$G$20,0))&lt;$D$6/OPDAYS_Cls3),86,payback(E55,V55,disc_rate/12,85))</f>
        <v>5</v>
      </c>
      <c r="AB55" s="298">
        <f ca="1">IF(AND(AB$22=TRUE,INDEX(CDRANGE_CLS3,MATCH($A55,$A$24:$A$67,0),MATCH(AB$20,$B$20:$G$20,0))&lt;$D$6/OPDAYS_Cls3),86,payback(F55,W55,disc_rate/12,85))</f>
        <v>9</v>
      </c>
      <c r="AC55" s="299">
        <f>IF(AND(AC$22=TRUE,INDEX(CDRANGE_CLS3,MATCH($A55,$A$24:$A$67,0),MATCH(AC$20,$B$20:$G$20,0))&lt;$D$6/OPDAYS_Cls3),86,payback(G55,X55,disc_rate/12,85))</f>
        <v>86</v>
      </c>
      <c r="AD55" s="314">
        <f t="shared" si="43"/>
        <v>0</v>
      </c>
      <c r="AE55" s="315">
        <f t="shared" si="44"/>
        <v>0</v>
      </c>
      <c r="AF55" s="315">
        <f t="shared" si="45"/>
        <v>0</v>
      </c>
      <c r="AG55" s="315">
        <f t="shared" si="46"/>
        <v>0</v>
      </c>
      <c r="AH55" s="316">
        <f t="shared" si="47"/>
        <v>0</v>
      </c>
      <c r="AI55" s="695">
        <f t="shared" si="48"/>
        <v>0.49999886983785102</v>
      </c>
      <c r="AJ55" s="318">
        <f t="shared" si="49"/>
        <v>0.49999886983785102</v>
      </c>
      <c r="AK55" s="318">
        <f t="shared" si="50"/>
        <v>0.49999886983785102</v>
      </c>
      <c r="AL55" s="318">
        <f t="shared" si="51"/>
        <v>0.49999886983785102</v>
      </c>
      <c r="AM55" s="698">
        <f t="shared" si="52"/>
        <v>0.47598460365350959</v>
      </c>
      <c r="AN55" s="317">
        <f t="shared" si="65"/>
        <v>0.99294537435345864</v>
      </c>
      <c r="AO55" s="318">
        <f t="shared" si="65"/>
        <v>0.99276586905801067</v>
      </c>
      <c r="AP55" s="318">
        <f t="shared" si="65"/>
        <v>0.96425794685830035</v>
      </c>
      <c r="AQ55" s="318">
        <f t="shared" si="65"/>
        <v>0.8636409596632183</v>
      </c>
      <c r="AR55" s="698">
        <f t="shared" si="65"/>
        <v>0.8183725206430188</v>
      </c>
      <c r="AS55" s="314">
        <f t="shared" ca="1" si="54"/>
        <v>0.99999773967570205</v>
      </c>
      <c r="AT55" s="315">
        <f t="shared" ca="1" si="55"/>
        <v>0.99999773967570205</v>
      </c>
      <c r="AU55" s="315">
        <f t="shared" ca="1" si="56"/>
        <v>0.99999773967570205</v>
      </c>
      <c r="AV55" s="315">
        <f t="shared" ca="1" si="57"/>
        <v>0.97659296428252507</v>
      </c>
      <c r="AW55" s="316">
        <f t="shared" si="58"/>
        <v>0</v>
      </c>
      <c r="AX55" s="314">
        <f t="shared" ca="1" si="59"/>
        <v>0.99294312997490242</v>
      </c>
      <c r="AY55" s="315">
        <f t="shared" ca="1" si="59"/>
        <v>0.99276362508519467</v>
      </c>
      <c r="AZ55" s="315">
        <f t="shared" ca="1" si="59"/>
        <v>0.96425576732263363</v>
      </c>
      <c r="BA55" s="315">
        <f t="shared" ca="1" si="59"/>
        <v>0.84342568487330705</v>
      </c>
      <c r="BB55" s="316">
        <f t="shared" si="59"/>
        <v>0</v>
      </c>
      <c r="BC55" s="314">
        <f t="shared" ca="1" si="66"/>
        <v>7.0568700250975835E-3</v>
      </c>
      <c r="BD55" s="315">
        <f t="shared" ca="1" si="60"/>
        <v>0.2599090853602713</v>
      </c>
      <c r="BE55" s="315">
        <f t="shared" ca="1" si="61"/>
        <v>0.2598620988307378</v>
      </c>
      <c r="BF55" s="315">
        <f t="shared" ca="1" si="62"/>
        <v>0.25239998845102735</v>
      </c>
      <c r="BG55" s="315">
        <f t="shared" ca="1" si="63"/>
        <v>0.22077195733286606</v>
      </c>
      <c r="BH55" s="316">
        <f t="shared" ca="1" si="64"/>
        <v>0</v>
      </c>
    </row>
    <row r="56" spans="1:60" x14ac:dyDescent="0.2">
      <c r="A56" s="335">
        <v>2039</v>
      </c>
      <c r="B56" s="925">
        <f t="shared" si="71"/>
        <v>100224.6</v>
      </c>
      <c r="C56" s="926">
        <f t="shared" si="71"/>
        <v>5059.7700000000004</v>
      </c>
      <c r="D56" s="926">
        <f t="shared" si="71"/>
        <v>5123.97</v>
      </c>
      <c r="E56" s="926">
        <f t="shared" si="71"/>
        <v>11472.42</v>
      </c>
      <c r="F56" s="926">
        <f t="shared" si="71"/>
        <v>23039.14</v>
      </c>
      <c r="G56" s="927">
        <f t="shared" si="71"/>
        <v>26562.39</v>
      </c>
      <c r="H56" s="886">
        <f t="shared" si="72"/>
        <v>1</v>
      </c>
      <c r="I56" s="887">
        <f t="shared" si="72"/>
        <v>1</v>
      </c>
      <c r="J56" s="887">
        <f t="shared" si="72"/>
        <v>1</v>
      </c>
      <c r="K56" s="887">
        <f t="shared" si="72"/>
        <v>1</v>
      </c>
      <c r="L56" s="887">
        <f t="shared" si="72"/>
        <v>0.82330297935271224</v>
      </c>
      <c r="M56" s="888">
        <f t="shared" si="72"/>
        <v>1</v>
      </c>
      <c r="N56" s="833">
        <f t="shared" si="32"/>
        <v>9247.2405885792286</v>
      </c>
      <c r="O56" s="294">
        <f t="shared" si="33"/>
        <v>7810.8229606388559</v>
      </c>
      <c r="P56" s="294">
        <f t="shared" si="34"/>
        <v>7369.390933144321</v>
      </c>
      <c r="Q56" s="294">
        <f t="shared" si="35"/>
        <v>6545.0594940160254</v>
      </c>
      <c r="R56" s="294">
        <f t="shared" si="36"/>
        <v>6403.3792504149551</v>
      </c>
      <c r="S56" s="296">
        <f t="shared" si="37"/>
        <v>7196.0309910431633</v>
      </c>
      <c r="T56" s="834">
        <f t="shared" si="38"/>
        <v>1436.4176279403728</v>
      </c>
      <c r="U56" s="308">
        <f t="shared" si="39"/>
        <v>1877.8496554349076</v>
      </c>
      <c r="V56" s="308">
        <f t="shared" si="40"/>
        <v>2702.1810945632033</v>
      </c>
      <c r="W56" s="308">
        <f t="shared" si="41"/>
        <v>2843.8613381642735</v>
      </c>
      <c r="X56" s="309">
        <f t="shared" si="42"/>
        <v>2051.2095975360653</v>
      </c>
      <c r="Y56" s="297">
        <f ca="1">IF(AND(Y$22=TRUE,INDEX(CDRANGE_CLS3,MATCH($A56,$A$24:$A$67,0),MATCH(Y$20,$B$20:$G$20,0))&lt;$D$6/OPDAYS_Cls3),86,payback(C56,T56,disc_rate/12,85))</f>
        <v>4</v>
      </c>
      <c r="Z56" s="298">
        <f ca="1">IF(AND(Z$22=TRUE,INDEX(CDRANGE_CLS3,MATCH($A56,$A$24:$A$67,0),MATCH(Z$20,$B$20:$G$20,0))&lt;$D$6/OPDAYS_Cls3),86,payback(D56,U56,disc_rate/12,85))</f>
        <v>3</v>
      </c>
      <c r="AA56" s="298">
        <f ca="1">IF(AND(AA$22=TRUE,INDEX(CDRANGE_CLS3,MATCH($A56,$A$24:$A$67,0),MATCH(AA$20,$B$20:$G$20,0))&lt;$D$6/OPDAYS_Cls3),86,payback(E56,V56,disc_rate/12,85))</f>
        <v>5</v>
      </c>
      <c r="AB56" s="298">
        <f ca="1">IF(AND(AB$22=TRUE,INDEX(CDRANGE_CLS3,MATCH($A56,$A$24:$A$67,0),MATCH(AB$20,$B$20:$G$20,0))&lt;$D$6/OPDAYS_Cls3),86,payback(F56,W56,disc_rate/12,85))</f>
        <v>9</v>
      </c>
      <c r="AC56" s="299">
        <f>IF(AND(AC$22=TRUE,INDEX(CDRANGE_CLS3,MATCH($A56,$A$24:$A$67,0),MATCH(AC$20,$B$20:$G$20,0))&lt;$D$6/OPDAYS_Cls3),86,payback(G56,X56,disc_rate/12,85))</f>
        <v>86</v>
      </c>
      <c r="AD56" s="314">
        <f t="shared" si="43"/>
        <v>0</v>
      </c>
      <c r="AE56" s="315">
        <f t="shared" si="44"/>
        <v>0</v>
      </c>
      <c r="AF56" s="315">
        <f t="shared" si="45"/>
        <v>0</v>
      </c>
      <c r="AG56" s="315">
        <f t="shared" si="46"/>
        <v>0</v>
      </c>
      <c r="AH56" s="316">
        <f t="shared" si="47"/>
        <v>0</v>
      </c>
      <c r="AI56" s="695">
        <f t="shared" si="48"/>
        <v>0.49999958423598612</v>
      </c>
      <c r="AJ56" s="318">
        <f t="shared" si="49"/>
        <v>0.49999958423598612</v>
      </c>
      <c r="AK56" s="318">
        <f t="shared" si="50"/>
        <v>0.49999958423598612</v>
      </c>
      <c r="AL56" s="318">
        <f t="shared" si="51"/>
        <v>0.49999958423598612</v>
      </c>
      <c r="AM56" s="698">
        <f t="shared" si="52"/>
        <v>0.48366005780379517</v>
      </c>
      <c r="AN56" s="317">
        <f t="shared" si="65"/>
        <v>0.99294537435345864</v>
      </c>
      <c r="AO56" s="318">
        <f t="shared" si="65"/>
        <v>0.99276586905801067</v>
      </c>
      <c r="AP56" s="318">
        <f t="shared" si="65"/>
        <v>0.96425794685830035</v>
      </c>
      <c r="AQ56" s="318">
        <f t="shared" si="65"/>
        <v>0.8634796971021691</v>
      </c>
      <c r="AR56" s="698">
        <f t="shared" si="65"/>
        <v>0.82274281878543787</v>
      </c>
      <c r="AS56" s="314">
        <f t="shared" ca="1" si="54"/>
        <v>0.99999916847197223</v>
      </c>
      <c r="AT56" s="315">
        <f t="shared" ca="1" si="55"/>
        <v>0.99999916847197223</v>
      </c>
      <c r="AU56" s="315">
        <f t="shared" ca="1" si="56"/>
        <v>0.99999916847197223</v>
      </c>
      <c r="AV56" s="315">
        <f t="shared" ca="1" si="57"/>
        <v>0.97659435963806396</v>
      </c>
      <c r="AW56" s="316">
        <f t="shared" si="58"/>
        <v>0</v>
      </c>
      <c r="AX56" s="314">
        <f t="shared" ca="1" si="59"/>
        <v>0.9929445486915498</v>
      </c>
      <c r="AY56" s="315">
        <f t="shared" ca="1" si="59"/>
        <v>0.99276504354536554</v>
      </c>
      <c r="AZ56" s="315">
        <f t="shared" ca="1" si="59"/>
        <v>0.96425714505079152</v>
      </c>
      <c r="BA56" s="315">
        <f t="shared" ca="1" si="59"/>
        <v>0.84326940185196231</v>
      </c>
      <c r="BB56" s="316">
        <f t="shared" si="59"/>
        <v>0</v>
      </c>
      <c r="BC56" s="314">
        <f t="shared" ca="1" si="66"/>
        <v>7.0554513084500892E-3</v>
      </c>
      <c r="BD56" s="315">
        <f t="shared" ca="1" si="60"/>
        <v>0.25992024767534849</v>
      </c>
      <c r="BE56" s="315">
        <f t="shared" ca="1" si="61"/>
        <v>0.25987325912788467</v>
      </c>
      <c r="BF56" s="315">
        <f t="shared" ca="1" si="62"/>
        <v>0.25241082827293149</v>
      </c>
      <c r="BG56" s="315">
        <f t="shared" ca="1" si="63"/>
        <v>0.22074021361538529</v>
      </c>
      <c r="BH56" s="316">
        <f t="shared" ca="1" si="64"/>
        <v>0</v>
      </c>
    </row>
    <row r="57" spans="1:60" ht="13.5" thickBot="1" x14ac:dyDescent="0.25">
      <c r="A57" s="718">
        <v>2040</v>
      </c>
      <c r="B57" s="919">
        <f t="shared" si="71"/>
        <v>100224.6</v>
      </c>
      <c r="C57" s="920">
        <f t="shared" si="71"/>
        <v>5059.7700000000004</v>
      </c>
      <c r="D57" s="920">
        <f t="shared" si="71"/>
        <v>5123.97</v>
      </c>
      <c r="E57" s="920">
        <f t="shared" si="71"/>
        <v>11472.42</v>
      </c>
      <c r="F57" s="920">
        <f t="shared" si="71"/>
        <v>23053.81</v>
      </c>
      <c r="G57" s="921">
        <f t="shared" si="71"/>
        <v>26202.28</v>
      </c>
      <c r="H57" s="886">
        <f t="shared" si="72"/>
        <v>1</v>
      </c>
      <c r="I57" s="887">
        <f t="shared" si="72"/>
        <v>1</v>
      </c>
      <c r="J57" s="887">
        <f t="shared" si="72"/>
        <v>1</v>
      </c>
      <c r="K57" s="887">
        <f t="shared" si="72"/>
        <v>1</v>
      </c>
      <c r="L57" s="887">
        <f t="shared" si="72"/>
        <v>0.82297407296707947</v>
      </c>
      <c r="M57" s="888">
        <f t="shared" si="72"/>
        <v>1</v>
      </c>
      <c r="N57" s="988">
        <f t="shared" si="32"/>
        <v>9290.8267848802479</v>
      </c>
      <c r="O57" s="881">
        <f t="shared" si="33"/>
        <v>7847.6387068686417</v>
      </c>
      <c r="P57" s="881">
        <f t="shared" si="34"/>
        <v>7404.1260216017017</v>
      </c>
      <c r="Q57" s="881">
        <f t="shared" si="35"/>
        <v>6575.9091561585201</v>
      </c>
      <c r="R57" s="881">
        <f t="shared" si="36"/>
        <v>6354.9137594354052</v>
      </c>
      <c r="S57" s="882">
        <f t="shared" si="37"/>
        <v>6937.8301507112064</v>
      </c>
      <c r="T57" s="835">
        <f t="shared" si="38"/>
        <v>1443.1880780116062</v>
      </c>
      <c r="U57" s="719">
        <f t="shared" si="39"/>
        <v>1886.7007632785462</v>
      </c>
      <c r="V57" s="719">
        <f t="shared" si="40"/>
        <v>2714.9176287217279</v>
      </c>
      <c r="W57" s="719">
        <f t="shared" si="41"/>
        <v>2935.9130254448428</v>
      </c>
      <c r="X57" s="720">
        <f t="shared" si="42"/>
        <v>2352.9966341690415</v>
      </c>
      <c r="Y57" s="823">
        <f ca="1">IF(AND(Y$22=TRUE,INDEX(CDRANGE_CLS3,MATCH($A57,$A$24:$A$67,0),MATCH(Y$20,$B$20:$G$20,0))&lt;$D$6/OPDAYS_Cls3),86,payback(C57,T57,disc_rate/12,85))</f>
        <v>4</v>
      </c>
      <c r="Z57" s="824">
        <f ca="1">IF(AND(Z$22=TRUE,INDEX(CDRANGE_CLS3,MATCH($A57,$A$24:$A$67,0),MATCH(Z$20,$B$20:$G$20,0))&lt;$D$6/OPDAYS_Cls3),86,payback(D57,U57,disc_rate/12,85))</f>
        <v>3</v>
      </c>
      <c r="AA57" s="824">
        <f ca="1">IF(AND(AA$22=TRUE,INDEX(CDRANGE_CLS3,MATCH($A57,$A$24:$A$67,0),MATCH(AA$20,$B$20:$G$20,0))&lt;$D$6/OPDAYS_Cls3),86,payback(E57,V57,disc_rate/12,85))</f>
        <v>5</v>
      </c>
      <c r="AB57" s="824">
        <f ca="1">IF(AND(AB$22=TRUE,INDEX(CDRANGE_CLS3,MATCH($A57,$A$24:$A$67,0),MATCH(AB$20,$B$20:$G$20,0))&lt;$D$6/OPDAYS_Cls3),86,payback(F57,W57,disc_rate/12,85))</f>
        <v>9</v>
      </c>
      <c r="AC57" s="997">
        <f>IF(AND(AC$22=TRUE,INDEX(CDRANGE_CLS3,MATCH($A57,$A$24:$A$67,0),MATCH(AC$20,$B$20:$G$20,0))&lt;$D$6/OPDAYS_Cls3),86,payback(G57,X57,disc_rate/12,85))</f>
        <v>86</v>
      </c>
      <c r="AD57" s="724">
        <f t="shared" si="43"/>
        <v>0</v>
      </c>
      <c r="AE57" s="725">
        <f t="shared" si="44"/>
        <v>0</v>
      </c>
      <c r="AF57" s="725">
        <f t="shared" si="45"/>
        <v>0</v>
      </c>
      <c r="AG57" s="725">
        <f t="shared" si="46"/>
        <v>0</v>
      </c>
      <c r="AH57" s="726">
        <f t="shared" si="47"/>
        <v>0</v>
      </c>
      <c r="AI57" s="727">
        <f t="shared" si="48"/>
        <v>0.4999998470488865</v>
      </c>
      <c r="AJ57" s="728">
        <f t="shared" si="49"/>
        <v>0.4999998470488865</v>
      </c>
      <c r="AK57" s="728">
        <f t="shared" si="50"/>
        <v>0.4999998470488865</v>
      </c>
      <c r="AL57" s="728">
        <f t="shared" si="51"/>
        <v>0.4999998470488865</v>
      </c>
      <c r="AM57" s="729">
        <f t="shared" si="52"/>
        <v>0.49142580877151454</v>
      </c>
      <c r="AN57" s="730">
        <f t="shared" si="65"/>
        <v>0.99294537435345864</v>
      </c>
      <c r="AO57" s="728">
        <f t="shared" si="65"/>
        <v>0.99276586905801067</v>
      </c>
      <c r="AP57" s="728">
        <f t="shared" si="65"/>
        <v>0.96425794685830035</v>
      </c>
      <c r="AQ57" s="728">
        <f t="shared" si="65"/>
        <v>0.86331825196014744</v>
      </c>
      <c r="AR57" s="729">
        <f t="shared" si="65"/>
        <v>0.82707725716340019</v>
      </c>
      <c r="AS57" s="724">
        <f t="shared" ca="1" si="54"/>
        <v>0.99999969409777301</v>
      </c>
      <c r="AT57" s="725">
        <f t="shared" ca="1" si="55"/>
        <v>0.99999969409777301</v>
      </c>
      <c r="AU57" s="725">
        <f t="shared" ca="1" si="56"/>
        <v>0.99999969409777301</v>
      </c>
      <c r="AV57" s="725">
        <f t="shared" ca="1" si="57"/>
        <v>0.97659487296168312</v>
      </c>
      <c r="AW57" s="726">
        <f t="shared" si="58"/>
        <v>0</v>
      </c>
      <c r="AX57" s="724">
        <f t="shared" ca="1" si="59"/>
        <v>0.9929450706092573</v>
      </c>
      <c r="AY57" s="725">
        <f t="shared" ca="1" si="59"/>
        <v>0.9927655653687204</v>
      </c>
      <c r="AZ57" s="725">
        <f t="shared" ca="1" si="59"/>
        <v>0.96425765188964696</v>
      </c>
      <c r="BA57" s="725">
        <f t="shared" ca="1" si="59"/>
        <v>0.8431121785985225</v>
      </c>
      <c r="BB57" s="726">
        <f t="shared" si="59"/>
        <v>0</v>
      </c>
      <c r="BC57" s="724">
        <f t="shared" ca="1" si="66"/>
        <v>7.0549293907427035E-3</v>
      </c>
      <c r="BD57" s="725">
        <f t="shared" ca="1" si="60"/>
        <v>0.25993118837412421</v>
      </c>
      <c r="BE57" s="725">
        <f t="shared" ca="1" si="61"/>
        <v>0.2598841978487938</v>
      </c>
      <c r="BF57" s="725">
        <f t="shared" ca="1" si="62"/>
        <v>0.2524214528813048</v>
      </c>
      <c r="BG57" s="725">
        <f t="shared" ca="1" si="63"/>
        <v>0.22070823150503452</v>
      </c>
      <c r="BH57" s="726">
        <f t="shared" ca="1" si="64"/>
        <v>0</v>
      </c>
    </row>
    <row r="58" spans="1:60" x14ac:dyDescent="0.2">
      <c r="A58" s="336">
        <v>2041</v>
      </c>
      <c r="B58" s="922">
        <f t="shared" si="71"/>
        <v>100224.6</v>
      </c>
      <c r="C58" s="923">
        <f t="shared" si="71"/>
        <v>5059.7700000000004</v>
      </c>
      <c r="D58" s="923">
        <f t="shared" si="71"/>
        <v>5123.97</v>
      </c>
      <c r="E58" s="923">
        <f t="shared" si="71"/>
        <v>11472.42</v>
      </c>
      <c r="F58" s="923">
        <f t="shared" si="71"/>
        <v>23068.48</v>
      </c>
      <c r="G58" s="924">
        <f t="shared" si="71"/>
        <v>25842.17</v>
      </c>
      <c r="H58" s="886">
        <f t="shared" si="72"/>
        <v>1</v>
      </c>
      <c r="I58" s="887">
        <f t="shared" si="72"/>
        <v>1</v>
      </c>
      <c r="J58" s="887">
        <f t="shared" si="72"/>
        <v>1</v>
      </c>
      <c r="K58" s="887">
        <f t="shared" si="72"/>
        <v>1</v>
      </c>
      <c r="L58" s="887">
        <f t="shared" si="72"/>
        <v>0.8226451665814466</v>
      </c>
      <c r="M58" s="888">
        <f t="shared" si="72"/>
        <v>1</v>
      </c>
      <c r="N58" s="836">
        <f t="shared" si="32"/>
        <v>9297.7415741349505</v>
      </c>
      <c r="O58" s="732">
        <f t="shared" si="33"/>
        <v>7853.4793891955733</v>
      </c>
      <c r="P58" s="732">
        <f t="shared" si="34"/>
        <v>7409.6366152485389</v>
      </c>
      <c r="Q58" s="732">
        <f t="shared" si="35"/>
        <v>6580.803341253747</v>
      </c>
      <c r="R58" s="732">
        <f t="shared" si="36"/>
        <v>6265.4243103573181</v>
      </c>
      <c r="S58" s="846">
        <f t="shared" si="37"/>
        <v>6558.6020981093043</v>
      </c>
      <c r="T58" s="836">
        <f t="shared" si="38"/>
        <v>1444.2621849393772</v>
      </c>
      <c r="U58" s="732">
        <f t="shared" si="39"/>
        <v>1888.1049588864116</v>
      </c>
      <c r="V58" s="732">
        <f t="shared" si="40"/>
        <v>2716.9382328812035</v>
      </c>
      <c r="W58" s="732">
        <f t="shared" si="41"/>
        <v>3032.3172637776324</v>
      </c>
      <c r="X58" s="733">
        <f t="shared" si="42"/>
        <v>2739.1394760256462</v>
      </c>
      <c r="Y58" s="734">
        <f ca="1">IF(AND(Y$22=TRUE,INDEX(CDRANGE_CLS3,MATCH($A58,$A$24:$A$67,0),MATCH(Y$20,$B$20:$G$20,0))&lt;$D$6/OPDAYS_Cls3),86,payback(C58,T58,disc_rate/12,85))</f>
        <v>4</v>
      </c>
      <c r="Z58" s="735">
        <f ca="1">IF(AND(Z$22=TRUE,INDEX(CDRANGE_CLS3,MATCH($A58,$A$24:$A$67,0),MATCH(Z$20,$B$20:$G$20,0))&lt;$D$6/OPDAYS_Cls3),86,payback(D58,U58,disc_rate/12,85))</f>
        <v>3</v>
      </c>
      <c r="AA58" s="735">
        <f ca="1">IF(AND(AA$22=TRUE,INDEX(CDRANGE_CLS3,MATCH($A58,$A$24:$A$67,0),MATCH(AA$20,$B$20:$G$20,0))&lt;$D$6/OPDAYS_Cls3),86,payback(E58,V58,disc_rate/12,85))</f>
        <v>5</v>
      </c>
      <c r="AB58" s="735">
        <f ca="1">IF(AND(AB$22=TRUE,INDEX(CDRANGE_CLS3,MATCH($A58,$A$24:$A$67,0),MATCH(AB$20,$B$20:$G$20,0))&lt;$D$6/OPDAYS_Cls3),86,payback(F58,W58,disc_rate/12,85))</f>
        <v>8</v>
      </c>
      <c r="AC58" s="998">
        <f>IF(AND(AC$22=TRUE,INDEX(CDRANGE_CLS3,MATCH($A58,$A$24:$A$67,0),MATCH(AC$20,$B$20:$G$20,0))&lt;$D$6/OPDAYS_Cls3),86,payback(G58,X58,disc_rate/12,85))</f>
        <v>86</v>
      </c>
      <c r="AD58" s="737">
        <f t="shared" si="43"/>
        <v>0</v>
      </c>
      <c r="AE58" s="738">
        <f t="shared" si="44"/>
        <v>0</v>
      </c>
      <c r="AF58" s="738">
        <f t="shared" si="45"/>
        <v>0</v>
      </c>
      <c r="AG58" s="738">
        <f t="shared" si="46"/>
        <v>0</v>
      </c>
      <c r="AH58" s="739">
        <f t="shared" si="47"/>
        <v>0</v>
      </c>
      <c r="AI58" s="740">
        <f t="shared" si="48"/>
        <v>0.49999994373241896</v>
      </c>
      <c r="AJ58" s="741">
        <f t="shared" si="49"/>
        <v>0.49999994373241896</v>
      </c>
      <c r="AK58" s="741">
        <f t="shared" si="50"/>
        <v>0.49999994373241896</v>
      </c>
      <c r="AL58" s="741">
        <f t="shared" si="51"/>
        <v>0.49999994373241896</v>
      </c>
      <c r="AM58" s="742">
        <f t="shared" si="52"/>
        <v>0.4946830490538891</v>
      </c>
      <c r="AN58" s="743">
        <f t="shared" si="65"/>
        <v>0.99294537435345864</v>
      </c>
      <c r="AO58" s="741">
        <f t="shared" si="65"/>
        <v>0.99276586905801067</v>
      </c>
      <c r="AP58" s="741">
        <f t="shared" si="65"/>
        <v>0.96425794685830035</v>
      </c>
      <c r="AQ58" s="741">
        <f t="shared" si="65"/>
        <v>0.86315673426614614</v>
      </c>
      <c r="AR58" s="742">
        <f t="shared" si="65"/>
        <v>0.83137490100019595</v>
      </c>
      <c r="AS58" s="737">
        <f t="shared" ca="1" si="54"/>
        <v>0.99999988746483792</v>
      </c>
      <c r="AT58" s="738">
        <f t="shared" ca="1" si="55"/>
        <v>0.99999988746483792</v>
      </c>
      <c r="AU58" s="738">
        <f t="shared" ca="1" si="56"/>
        <v>0.99999988746483792</v>
      </c>
      <c r="AV58" s="738">
        <f t="shared" ca="1" si="57"/>
        <v>0.98864984875593298</v>
      </c>
      <c r="AW58" s="739">
        <f t="shared" si="58"/>
        <v>0</v>
      </c>
      <c r="AX58" s="737">
        <f t="shared" ca="1" si="59"/>
        <v>0.99294526261218996</v>
      </c>
      <c r="AY58" s="738">
        <f t="shared" ca="1" si="59"/>
        <v>0.99276575733694272</v>
      </c>
      <c r="AZ58" s="738">
        <f t="shared" ca="1" si="59"/>
        <v>0.96425783834537604</v>
      </c>
      <c r="BA58" s="738">
        <f t="shared" ca="1" si="59"/>
        <v>0.85335977478489045</v>
      </c>
      <c r="BB58" s="739">
        <f t="shared" si="59"/>
        <v>0</v>
      </c>
      <c r="BC58" s="737">
        <f t="shared" ca="1" si="66"/>
        <v>7.0547373878101505E-3</v>
      </c>
      <c r="BD58" s="738">
        <f t="shared" ca="1" si="60"/>
        <v>0.25923089736942229</v>
      </c>
      <c r="BE58" s="738">
        <f t="shared" ca="1" si="61"/>
        <v>0.25918403344314456</v>
      </c>
      <c r="BF58" s="738">
        <f t="shared" ca="1" si="62"/>
        <v>0.2517413941551771</v>
      </c>
      <c r="BG58" s="738">
        <f t="shared" ca="1" si="63"/>
        <v>0.22278893764444599</v>
      </c>
      <c r="BH58" s="739">
        <f t="shared" ca="1" si="64"/>
        <v>0</v>
      </c>
    </row>
    <row r="59" spans="1:60" x14ac:dyDescent="0.2">
      <c r="A59" s="335">
        <v>2042</v>
      </c>
      <c r="B59" s="925">
        <f t="shared" si="71"/>
        <v>100224.6</v>
      </c>
      <c r="C59" s="926">
        <f t="shared" si="71"/>
        <v>5059.7700000000004</v>
      </c>
      <c r="D59" s="926">
        <f t="shared" si="71"/>
        <v>5123.97</v>
      </c>
      <c r="E59" s="926">
        <f t="shared" si="71"/>
        <v>11472.42</v>
      </c>
      <c r="F59" s="926">
        <f t="shared" si="71"/>
        <v>23083.15</v>
      </c>
      <c r="G59" s="927">
        <f t="shared" si="71"/>
        <v>25482.07</v>
      </c>
      <c r="H59" s="886">
        <f t="shared" si="72"/>
        <v>1</v>
      </c>
      <c r="I59" s="887">
        <f t="shared" si="72"/>
        <v>1</v>
      </c>
      <c r="J59" s="887">
        <f t="shared" si="72"/>
        <v>1</v>
      </c>
      <c r="K59" s="887">
        <f t="shared" si="72"/>
        <v>1</v>
      </c>
      <c r="L59" s="887">
        <f t="shared" si="72"/>
        <v>0.82231626019581383</v>
      </c>
      <c r="M59" s="888">
        <f t="shared" si="72"/>
        <v>1</v>
      </c>
      <c r="N59" s="833">
        <f t="shared" si="32"/>
        <v>9350.7679252321395</v>
      </c>
      <c r="O59" s="294">
        <f t="shared" si="33"/>
        <v>7898.2689063170765</v>
      </c>
      <c r="P59" s="294">
        <f t="shared" si="34"/>
        <v>7451.8948334975566</v>
      </c>
      <c r="Q59" s="294">
        <f t="shared" si="35"/>
        <v>6618.3346047000914</v>
      </c>
      <c r="R59" s="294">
        <f t="shared" si="36"/>
        <v>6178.2771552020904</v>
      </c>
      <c r="S59" s="296">
        <f t="shared" si="37"/>
        <v>6044.0026720822152</v>
      </c>
      <c r="T59" s="834">
        <f t="shared" si="38"/>
        <v>1452.4990189150631</v>
      </c>
      <c r="U59" s="308">
        <f t="shared" si="39"/>
        <v>1898.8730917345829</v>
      </c>
      <c r="V59" s="308">
        <f t="shared" si="40"/>
        <v>2732.4333205320481</v>
      </c>
      <c r="W59" s="308">
        <f t="shared" si="41"/>
        <v>3172.4907700300491</v>
      </c>
      <c r="X59" s="309">
        <f t="shared" si="42"/>
        <v>3306.7652531499243</v>
      </c>
      <c r="Y59" s="297">
        <f ca="1">IF(AND(Y$22=TRUE,INDEX(CDRANGE_CLS3,MATCH($A59,$A$24:$A$67,0),MATCH(Y$20,$B$20:$G$20,0))&lt;$D$6/OPDAYS_Cls3),86,payback(C59,T59,disc_rate/12,85))</f>
        <v>4</v>
      </c>
      <c r="Z59" s="298">
        <f ca="1">IF(AND(Z$22=TRUE,INDEX(CDRANGE_CLS3,MATCH($A59,$A$24:$A$67,0),MATCH(Z$20,$B$20:$G$20,0))&lt;$D$6/OPDAYS_Cls3),86,payback(D59,U59,disc_rate/12,85))</f>
        <v>3</v>
      </c>
      <c r="AA59" s="298">
        <f ca="1">IF(AND(AA$22=TRUE,INDEX(CDRANGE_CLS3,MATCH($A59,$A$24:$A$67,0),MATCH(AA$20,$B$20:$G$20,0))&lt;$D$6/OPDAYS_Cls3),86,payback(E59,V59,disc_rate/12,85))</f>
        <v>5</v>
      </c>
      <c r="AB59" s="298">
        <f ca="1">IF(AND(AB$22=TRUE,INDEX(CDRANGE_CLS3,MATCH($A59,$A$24:$A$67,0),MATCH(AB$20,$B$20:$G$20,0))&lt;$D$6/OPDAYS_Cls3),86,payback(F59,W59,disc_rate/12,85))</f>
        <v>8</v>
      </c>
      <c r="AC59" s="299">
        <f>IF(AND(AC$22=TRUE,INDEX(CDRANGE_CLS3,MATCH($A59,$A$24:$A$67,0),MATCH(AC$20,$B$20:$G$20,0))&lt;$D$6/OPDAYS_Cls3),86,payback(G59,X59,disc_rate/12,85))</f>
        <v>86</v>
      </c>
      <c r="AD59" s="314">
        <f t="shared" si="43"/>
        <v>0</v>
      </c>
      <c r="AE59" s="315">
        <f t="shared" si="44"/>
        <v>0</v>
      </c>
      <c r="AF59" s="315">
        <f t="shared" si="45"/>
        <v>0</v>
      </c>
      <c r="AG59" s="315">
        <f t="shared" si="46"/>
        <v>0</v>
      </c>
      <c r="AH59" s="316">
        <f t="shared" si="47"/>
        <v>0</v>
      </c>
      <c r="AI59" s="695">
        <f t="shared" si="48"/>
        <v>0.4999999793003122</v>
      </c>
      <c r="AJ59" s="318">
        <f t="shared" si="49"/>
        <v>0.4999999793003122</v>
      </c>
      <c r="AK59" s="318">
        <f t="shared" si="50"/>
        <v>0.4999999793003122</v>
      </c>
      <c r="AL59" s="318">
        <f t="shared" si="51"/>
        <v>0.4999999793003122</v>
      </c>
      <c r="AM59" s="698">
        <f t="shared" si="52"/>
        <v>0.49759711881379698</v>
      </c>
      <c r="AN59" s="317">
        <f t="shared" si="65"/>
        <v>0.99294537435345864</v>
      </c>
      <c r="AO59" s="318">
        <f t="shared" si="65"/>
        <v>0.99276586905801067</v>
      </c>
      <c r="AP59" s="318">
        <f t="shared" si="65"/>
        <v>0.96425794685830035</v>
      </c>
      <c r="AQ59" s="318">
        <f t="shared" si="65"/>
        <v>0.86299514407218458</v>
      </c>
      <c r="AR59" s="698">
        <f t="shared" si="65"/>
        <v>0.83563482328980565</v>
      </c>
      <c r="AS59" s="314">
        <f t="shared" ca="1" si="54"/>
        <v>0.99999995860062441</v>
      </c>
      <c r="AT59" s="315">
        <f t="shared" ca="1" si="55"/>
        <v>0.99999995860062441</v>
      </c>
      <c r="AU59" s="315">
        <f t="shared" ca="1" si="56"/>
        <v>0.99999995860062441</v>
      </c>
      <c r="AV59" s="315">
        <f t="shared" ca="1" si="57"/>
        <v>0.98864991908432542</v>
      </c>
      <c r="AW59" s="316">
        <f t="shared" si="58"/>
        <v>0</v>
      </c>
      <c r="AX59" s="314">
        <f t="shared" ca="1" si="59"/>
        <v>0.99294533324614009</v>
      </c>
      <c r="AY59" s="315">
        <f t="shared" ca="1" si="59"/>
        <v>0.99276582795812363</v>
      </c>
      <c r="AZ59" s="315">
        <f t="shared" ca="1" si="59"/>
        <v>0.96425790693862345</v>
      </c>
      <c r="BA59" s="315">
        <f t="shared" ca="1" si="59"/>
        <v>0.85320007935713105</v>
      </c>
      <c r="BB59" s="316">
        <f t="shared" si="59"/>
        <v>0</v>
      </c>
      <c r="BC59" s="314">
        <f t="shared" ca="1" si="66"/>
        <v>7.0546667538597951E-3</v>
      </c>
      <c r="BD59" s="315">
        <f t="shared" ca="1" si="60"/>
        <v>0.25924180507811179</v>
      </c>
      <c r="BE59" s="315">
        <f t="shared" ca="1" si="61"/>
        <v>0.25919493917993153</v>
      </c>
      <c r="BF59" s="315">
        <f t="shared" ca="1" si="62"/>
        <v>0.25175198672658888</v>
      </c>
      <c r="BG59" s="315">
        <f t="shared" ca="1" si="63"/>
        <v>0.2227566022615079</v>
      </c>
      <c r="BH59" s="316">
        <f t="shared" ca="1" si="64"/>
        <v>0</v>
      </c>
    </row>
    <row r="60" spans="1:60" x14ac:dyDescent="0.2">
      <c r="A60" s="335">
        <v>2043</v>
      </c>
      <c r="B60" s="925">
        <f t="shared" si="71"/>
        <v>100224.6</v>
      </c>
      <c r="C60" s="926">
        <f t="shared" si="71"/>
        <v>5059.7700000000004</v>
      </c>
      <c r="D60" s="926">
        <f t="shared" si="71"/>
        <v>5123.97</v>
      </c>
      <c r="E60" s="926">
        <f t="shared" si="71"/>
        <v>11472.42</v>
      </c>
      <c r="F60" s="926">
        <f t="shared" si="71"/>
        <v>23097.81</v>
      </c>
      <c r="G60" s="927">
        <f t="shared" si="71"/>
        <v>25121.96</v>
      </c>
      <c r="H60" s="886">
        <f t="shared" si="72"/>
        <v>1</v>
      </c>
      <c r="I60" s="887">
        <f t="shared" si="72"/>
        <v>1</v>
      </c>
      <c r="J60" s="887">
        <f t="shared" si="72"/>
        <v>1</v>
      </c>
      <c r="K60" s="887">
        <f t="shared" si="72"/>
        <v>1</v>
      </c>
      <c r="L60" s="887">
        <f t="shared" si="72"/>
        <v>0.82198735381018095</v>
      </c>
      <c r="M60" s="888">
        <f t="shared" si="72"/>
        <v>1</v>
      </c>
      <c r="N60" s="833">
        <f t="shared" si="32"/>
        <v>9350.9054999360287</v>
      </c>
      <c r="O60" s="294">
        <f t="shared" si="33"/>
        <v>7898.3851108913641</v>
      </c>
      <c r="P60" s="294">
        <f t="shared" si="34"/>
        <v>7452.0044707202242</v>
      </c>
      <c r="Q60" s="294">
        <f t="shared" si="35"/>
        <v>6618.4319780314318</v>
      </c>
      <c r="R60" s="294">
        <f t="shared" si="36"/>
        <v>6042.8875071832663</v>
      </c>
      <c r="S60" s="296">
        <f t="shared" si="37"/>
        <v>5418.3945075845195</v>
      </c>
      <c r="T60" s="834">
        <f t="shared" si="38"/>
        <v>1452.5203890446646</v>
      </c>
      <c r="U60" s="308">
        <f t="shared" si="39"/>
        <v>1898.9010292158046</v>
      </c>
      <c r="V60" s="308">
        <f t="shared" si="40"/>
        <v>2732.473521904597</v>
      </c>
      <c r="W60" s="308">
        <f t="shared" si="41"/>
        <v>3308.0179927527624</v>
      </c>
      <c r="X60" s="309">
        <f t="shared" si="42"/>
        <v>3932.5109923515092</v>
      </c>
      <c r="Y60" s="297">
        <f ca="1">IF(AND(Y$22=TRUE,INDEX(CDRANGE_CLS3,MATCH($A60,$A$24:$A$67,0),MATCH(Y$20,$B$20:$G$20,0))&lt;$D$6/OPDAYS_Cls3),86,payback(C60,T60,disc_rate/12,85))</f>
        <v>4</v>
      </c>
      <c r="Z60" s="298">
        <f ca="1">IF(AND(Z$22=TRUE,INDEX(CDRANGE_CLS3,MATCH($A60,$A$24:$A$67,0),MATCH(Z$20,$B$20:$G$20,0))&lt;$D$6/OPDAYS_Cls3),86,payback(D60,U60,disc_rate/12,85))</f>
        <v>3</v>
      </c>
      <c r="AA60" s="298">
        <f ca="1">IF(AND(AA$22=TRUE,INDEX(CDRANGE_CLS3,MATCH($A60,$A$24:$A$67,0),MATCH(AA$20,$B$20:$G$20,0))&lt;$D$6/OPDAYS_Cls3),86,payback(E60,V60,disc_rate/12,85))</f>
        <v>5</v>
      </c>
      <c r="AB60" s="298">
        <f ca="1">IF(AND(AB$22=TRUE,INDEX(CDRANGE_CLS3,MATCH($A60,$A$24:$A$67,0),MATCH(AB$20,$B$20:$G$20,0))&lt;$D$6/OPDAYS_Cls3),86,payback(F60,W60,disc_rate/12,85))</f>
        <v>8</v>
      </c>
      <c r="AC60" s="299">
        <f>IF(AND(AC$22=TRUE,INDEX(CDRANGE_CLS3,MATCH($A60,$A$24:$A$67,0),MATCH(AC$20,$B$20:$G$20,0))&lt;$D$6/OPDAYS_Cls3),86,payback(G60,X60,disc_rate/12,85))</f>
        <v>86</v>
      </c>
      <c r="AD60" s="314">
        <f t="shared" si="43"/>
        <v>0</v>
      </c>
      <c r="AE60" s="315">
        <f t="shared" si="44"/>
        <v>0</v>
      </c>
      <c r="AF60" s="315">
        <f t="shared" si="45"/>
        <v>0</v>
      </c>
      <c r="AG60" s="315">
        <f t="shared" si="46"/>
        <v>0</v>
      </c>
      <c r="AH60" s="316">
        <f t="shared" si="47"/>
        <v>0</v>
      </c>
      <c r="AI60" s="695">
        <f t="shared" si="48"/>
        <v>0.49999999238501025</v>
      </c>
      <c r="AJ60" s="318">
        <f t="shared" si="49"/>
        <v>0.49999999238501025</v>
      </c>
      <c r="AK60" s="318">
        <f t="shared" si="50"/>
        <v>0.49999999238501025</v>
      </c>
      <c r="AL60" s="318">
        <f t="shared" si="51"/>
        <v>0.49999999238501025</v>
      </c>
      <c r="AM60" s="698">
        <f t="shared" si="52"/>
        <v>0.49866062269435391</v>
      </c>
      <c r="AN60" s="317">
        <f t="shared" si="65"/>
        <v>0.99294537435345864</v>
      </c>
      <c r="AO60" s="318">
        <f t="shared" si="65"/>
        <v>0.99276586905801067</v>
      </c>
      <c r="AP60" s="318">
        <f t="shared" si="65"/>
        <v>0.96425794685830035</v>
      </c>
      <c r="AQ60" s="318">
        <f t="shared" si="65"/>
        <v>0.86283359165444573</v>
      </c>
      <c r="AR60" s="698">
        <f t="shared" si="65"/>
        <v>0.83985645534596465</v>
      </c>
      <c r="AS60" s="314">
        <f t="shared" ca="1" si="54"/>
        <v>0.9999999847700205</v>
      </c>
      <c r="AT60" s="315">
        <f t="shared" ca="1" si="55"/>
        <v>0.9999999847700205</v>
      </c>
      <c r="AU60" s="315">
        <f t="shared" ca="1" si="56"/>
        <v>0.9999999847700205</v>
      </c>
      <c r="AV60" s="315">
        <f t="shared" ca="1" si="57"/>
        <v>0.98864994495669778</v>
      </c>
      <c r="AW60" s="316">
        <f t="shared" si="58"/>
        <v>0</v>
      </c>
      <c r="AX60" s="314">
        <f t="shared" ca="1" si="59"/>
        <v>0.99294535923092098</v>
      </c>
      <c r="AY60" s="315">
        <f t="shared" ca="1" si="59"/>
        <v>0.99276585393820682</v>
      </c>
      <c r="AZ60" s="315">
        <f t="shared" ca="1" si="59"/>
        <v>0.96425793217267164</v>
      </c>
      <c r="BA60" s="315">
        <f t="shared" ca="1" si="59"/>
        <v>0.85304038289595763</v>
      </c>
      <c r="BB60" s="316">
        <f t="shared" si="59"/>
        <v>0</v>
      </c>
      <c r="BC60" s="314">
        <f t="shared" ca="1" si="66"/>
        <v>7.0546407690790236E-3</v>
      </c>
      <c r="BD60" s="315">
        <f t="shared" ca="1" si="60"/>
        <v>0.25925269949956947</v>
      </c>
      <c r="BE60" s="315">
        <f t="shared" ca="1" si="61"/>
        <v>0.25920583163188876</v>
      </c>
      <c r="BF60" s="315">
        <f t="shared" ca="1" si="62"/>
        <v>0.25176256639465355</v>
      </c>
      <c r="BG60" s="315">
        <f t="shared" ca="1" si="63"/>
        <v>0.22272426170480916</v>
      </c>
      <c r="BH60" s="316">
        <f t="shared" ca="1" si="64"/>
        <v>0</v>
      </c>
    </row>
    <row r="61" spans="1:60" x14ac:dyDescent="0.2">
      <c r="A61" s="335">
        <v>2044</v>
      </c>
      <c r="B61" s="925">
        <f t="shared" si="71"/>
        <v>100224.6</v>
      </c>
      <c r="C61" s="926">
        <f t="shared" si="71"/>
        <v>5059.7700000000004</v>
      </c>
      <c r="D61" s="926">
        <f t="shared" si="71"/>
        <v>5123.97</v>
      </c>
      <c r="E61" s="926">
        <f t="shared" si="71"/>
        <v>11472.42</v>
      </c>
      <c r="F61" s="926">
        <f t="shared" si="71"/>
        <v>23112.48</v>
      </c>
      <c r="G61" s="927">
        <f t="shared" si="71"/>
        <v>24761.86</v>
      </c>
      <c r="H61" s="886">
        <f t="shared" si="72"/>
        <v>1</v>
      </c>
      <c r="I61" s="887">
        <f t="shared" si="72"/>
        <v>1</v>
      </c>
      <c r="J61" s="887">
        <f t="shared" si="72"/>
        <v>1</v>
      </c>
      <c r="K61" s="887">
        <f t="shared" si="72"/>
        <v>1</v>
      </c>
      <c r="L61" s="887">
        <f t="shared" si="72"/>
        <v>0.82165844742454819</v>
      </c>
      <c r="M61" s="888">
        <f t="shared" si="72"/>
        <v>1</v>
      </c>
      <c r="N61" s="833">
        <f t="shared" si="32"/>
        <v>9312.5246876609453</v>
      </c>
      <c r="O61" s="294">
        <f t="shared" si="33"/>
        <v>7865.9661717608697</v>
      </c>
      <c r="P61" s="294">
        <f t="shared" si="34"/>
        <v>7421.4177019131012</v>
      </c>
      <c r="Q61" s="294">
        <f t="shared" si="35"/>
        <v>6591.2666093614171</v>
      </c>
      <c r="R61" s="294">
        <f t="shared" si="36"/>
        <v>5885.2076213469854</v>
      </c>
      <c r="S61" s="296">
        <f t="shared" si="37"/>
        <v>4785.2894301623319</v>
      </c>
      <c r="T61" s="834">
        <f t="shared" si="38"/>
        <v>1446.5585159000757</v>
      </c>
      <c r="U61" s="308">
        <f t="shared" si="39"/>
        <v>1891.1069857478442</v>
      </c>
      <c r="V61" s="308">
        <f t="shared" si="40"/>
        <v>2721.2580782995283</v>
      </c>
      <c r="W61" s="308">
        <f t="shared" si="41"/>
        <v>3427.3170663139599</v>
      </c>
      <c r="X61" s="309">
        <f t="shared" si="42"/>
        <v>4527.2352574986135</v>
      </c>
      <c r="Y61" s="297">
        <f ca="1">IF(AND(Y$22=TRUE,INDEX(CDRANGE_CLS3,MATCH($A61,$A$24:$A$67,0),MATCH(Y$20,$B$20:$G$20,0))&lt;$D$6/OPDAYS_Cls3),86,payback(C61,T61,disc_rate/12,85))</f>
        <v>4</v>
      </c>
      <c r="Z61" s="298">
        <f ca="1">IF(AND(Z$22=TRUE,INDEX(CDRANGE_CLS3,MATCH($A61,$A$24:$A$67,0),MATCH(Z$20,$B$20:$G$20,0))&lt;$D$6/OPDAYS_Cls3),86,payback(D61,U61,disc_rate/12,85))</f>
        <v>3</v>
      </c>
      <c r="AA61" s="298">
        <f ca="1">IF(AND(AA$22=TRUE,INDEX(CDRANGE_CLS3,MATCH($A61,$A$24:$A$67,0),MATCH(AA$20,$B$20:$G$20,0))&lt;$D$6/OPDAYS_Cls3),86,payback(E61,V61,disc_rate/12,85))</f>
        <v>5</v>
      </c>
      <c r="AB61" s="298">
        <f ca="1">IF(AND(AB$22=TRUE,INDEX(CDRANGE_CLS3,MATCH($A61,$A$24:$A$67,0),MATCH(AB$20,$B$20:$G$20,0))&lt;$D$6/OPDAYS_Cls3),86,payback(F61,W61,disc_rate/12,85))</f>
        <v>7</v>
      </c>
      <c r="AC61" s="299">
        <f>IF(AND(AC$22=TRUE,INDEX(CDRANGE_CLS3,MATCH($A61,$A$24:$A$67,0),MATCH(AC$20,$B$20:$G$20,0))&lt;$D$6/OPDAYS_Cls3),86,payback(G61,X61,disc_rate/12,85))</f>
        <v>86</v>
      </c>
      <c r="AD61" s="314">
        <f t="shared" si="43"/>
        <v>0</v>
      </c>
      <c r="AE61" s="315">
        <f t="shared" si="44"/>
        <v>0</v>
      </c>
      <c r="AF61" s="315">
        <f t="shared" si="45"/>
        <v>0</v>
      </c>
      <c r="AG61" s="315">
        <f t="shared" si="46"/>
        <v>0</v>
      </c>
      <c r="AH61" s="316">
        <f t="shared" si="47"/>
        <v>0</v>
      </c>
      <c r="AI61" s="695">
        <f t="shared" si="48"/>
        <v>0.49999999719860178</v>
      </c>
      <c r="AJ61" s="318">
        <f t="shared" si="49"/>
        <v>0.49999999719860178</v>
      </c>
      <c r="AK61" s="318">
        <f t="shared" si="50"/>
        <v>0.49999999719860178</v>
      </c>
      <c r="AL61" s="318">
        <f t="shared" si="51"/>
        <v>0.49999999719860178</v>
      </c>
      <c r="AM61" s="698">
        <f t="shared" si="52"/>
        <v>0.4992875089834975</v>
      </c>
      <c r="AN61" s="317">
        <f t="shared" si="65"/>
        <v>0.99294537435345864</v>
      </c>
      <c r="AO61" s="318">
        <f t="shared" si="65"/>
        <v>0.99276586905801067</v>
      </c>
      <c r="AP61" s="318">
        <f t="shared" si="65"/>
        <v>0.96425794685830035</v>
      </c>
      <c r="AQ61" s="318">
        <f t="shared" si="65"/>
        <v>0.86267185666601875</v>
      </c>
      <c r="AR61" s="698">
        <f t="shared" si="65"/>
        <v>0.84403876163939762</v>
      </c>
      <c r="AS61" s="314">
        <f t="shared" ca="1" si="54"/>
        <v>0.99999999439720355</v>
      </c>
      <c r="AT61" s="315">
        <f t="shared" ca="1" si="55"/>
        <v>0.99999999439720355</v>
      </c>
      <c r="AU61" s="315">
        <f t="shared" ca="1" si="56"/>
        <v>0.99999999439720355</v>
      </c>
      <c r="AV61" s="315">
        <f t="shared" ca="1" si="57"/>
        <v>0.99672727982256959</v>
      </c>
      <c r="AW61" s="316">
        <f t="shared" si="58"/>
        <v>0</v>
      </c>
      <c r="AX61" s="314">
        <f t="shared" ca="1" si="59"/>
        <v>0.9929453687901878</v>
      </c>
      <c r="AY61" s="315">
        <f t="shared" ca="1" si="59"/>
        <v>0.99276586349574558</v>
      </c>
      <c r="AZ61" s="315">
        <f t="shared" ca="1" si="59"/>
        <v>0.96425794145575938</v>
      </c>
      <c r="BA61" s="315">
        <f t="shared" ca="1" si="59"/>
        <v>0.85984857307420648</v>
      </c>
      <c r="BB61" s="316">
        <f t="shared" si="59"/>
        <v>0</v>
      </c>
      <c r="BC61" s="314">
        <f t="shared" ca="1" si="66"/>
        <v>7.054631209812201E-3</v>
      </c>
      <c r="BD61" s="315">
        <f t="shared" ca="1" si="60"/>
        <v>0.25878941485479029</v>
      </c>
      <c r="BE61" s="315">
        <f t="shared" ca="1" si="61"/>
        <v>0.25874263074000187</v>
      </c>
      <c r="BF61" s="315">
        <f t="shared" ca="1" si="62"/>
        <v>0.25131266661977758</v>
      </c>
      <c r="BG61" s="315">
        <f t="shared" ca="1" si="63"/>
        <v>0.22410065657561803</v>
      </c>
      <c r="BH61" s="316">
        <f t="shared" ca="1" si="64"/>
        <v>0</v>
      </c>
    </row>
    <row r="62" spans="1:60" ht="13.5" thickBot="1" x14ac:dyDescent="0.25">
      <c r="A62" s="320">
        <v>2045</v>
      </c>
      <c r="B62" s="928">
        <f t="shared" si="71"/>
        <v>100224.6</v>
      </c>
      <c r="C62" s="929">
        <f t="shared" si="71"/>
        <v>5059.7700000000004</v>
      </c>
      <c r="D62" s="929">
        <f t="shared" si="71"/>
        <v>5123.97</v>
      </c>
      <c r="E62" s="929">
        <f t="shared" si="71"/>
        <v>11472.42</v>
      </c>
      <c r="F62" s="929">
        <f t="shared" si="71"/>
        <v>23127.15</v>
      </c>
      <c r="G62" s="930">
        <f t="shared" si="71"/>
        <v>24401.75</v>
      </c>
      <c r="H62" s="886">
        <f t="shared" si="72"/>
        <v>1</v>
      </c>
      <c r="I62" s="887">
        <f t="shared" si="72"/>
        <v>1</v>
      </c>
      <c r="J62" s="887">
        <f t="shared" si="72"/>
        <v>1</v>
      </c>
      <c r="K62" s="887">
        <f t="shared" si="72"/>
        <v>1</v>
      </c>
      <c r="L62" s="887">
        <f t="shared" si="72"/>
        <v>0.82132954103891542</v>
      </c>
      <c r="M62" s="888">
        <f t="shared" si="72"/>
        <v>1</v>
      </c>
      <c r="N62" s="989">
        <f t="shared" si="32"/>
        <v>9325.7558952743511</v>
      </c>
      <c r="O62" s="884">
        <f t="shared" si="33"/>
        <v>7877.1421133008143</v>
      </c>
      <c r="P62" s="884">
        <f t="shared" si="34"/>
        <v>7431.9620302980693</v>
      </c>
      <c r="Q62" s="884">
        <f t="shared" si="35"/>
        <v>6600.63146152222</v>
      </c>
      <c r="R62" s="884">
        <f t="shared" si="36"/>
        <v>5769.3867148905229</v>
      </c>
      <c r="S62" s="885">
        <f t="shared" si="37"/>
        <v>4232.4242878006926</v>
      </c>
      <c r="T62" s="837">
        <f t="shared" si="38"/>
        <v>1448.6137819735368</v>
      </c>
      <c r="U62" s="322">
        <f t="shared" si="39"/>
        <v>1893.7938649762818</v>
      </c>
      <c r="V62" s="322">
        <f t="shared" si="40"/>
        <v>2725.1244337521312</v>
      </c>
      <c r="W62" s="322">
        <f t="shared" si="41"/>
        <v>3556.3691803838283</v>
      </c>
      <c r="X62" s="323">
        <f t="shared" si="42"/>
        <v>5093.3316074736586</v>
      </c>
      <c r="Y62" s="994">
        <f ca="1">IF(AND(Y$22=TRUE,INDEX(CDRANGE_CLS3,MATCH($A62,$A$24:$A$67,0),MATCH(Y$20,$B$20:$G$20,0))&lt;$D$6/OPDAYS_Cls3),86,payback(C62,T62,disc_rate/12,85))</f>
        <v>4</v>
      </c>
      <c r="Z62" s="995">
        <f ca="1">IF(AND(Z$22=TRUE,INDEX(CDRANGE_CLS3,MATCH($A62,$A$24:$A$67,0),MATCH(Z$20,$B$20:$G$20,0))&lt;$D$6/OPDAYS_Cls3),86,payback(D62,U62,disc_rate/12,85))</f>
        <v>3</v>
      </c>
      <c r="AA62" s="995">
        <f ca="1">IF(AND(AA$22=TRUE,INDEX(CDRANGE_CLS3,MATCH($A62,$A$24:$A$67,0),MATCH(AA$20,$B$20:$G$20,0))&lt;$D$6/OPDAYS_Cls3),86,payback(E62,V62,disc_rate/12,85))</f>
        <v>5</v>
      </c>
      <c r="AB62" s="995">
        <f ca="1">IF(AND(AB$22=TRUE,INDEX(CDRANGE_CLS3,MATCH($A62,$A$24:$A$67,0),MATCH(AB$20,$B$20:$G$20,0))&lt;$D$6/OPDAYS_Cls3),86,payback(F62,W62,disc_rate/12,85))</f>
        <v>7</v>
      </c>
      <c r="AC62" s="996">
        <f>IF(AND(AC$22=TRUE,INDEX(CDRANGE_CLS3,MATCH($A62,$A$24:$A$67,0),MATCH(AC$20,$B$20:$G$20,0))&lt;$D$6/OPDAYS_Cls3),86,payback(G62,X62,disc_rate/12,85))</f>
        <v>86</v>
      </c>
      <c r="AD62" s="328">
        <f t="shared" si="43"/>
        <v>0</v>
      </c>
      <c r="AE62" s="329">
        <f t="shared" si="44"/>
        <v>0</v>
      </c>
      <c r="AF62" s="329">
        <f t="shared" si="45"/>
        <v>0</v>
      </c>
      <c r="AG62" s="329">
        <f t="shared" si="46"/>
        <v>0</v>
      </c>
      <c r="AH62" s="330">
        <f t="shared" si="47"/>
        <v>0</v>
      </c>
      <c r="AI62" s="696">
        <f t="shared" si="48"/>
        <v>0.49999999896942315</v>
      </c>
      <c r="AJ62" s="332">
        <f t="shared" si="49"/>
        <v>0.49999999896942315</v>
      </c>
      <c r="AK62" s="332">
        <f t="shared" si="50"/>
        <v>0.49999999896942315</v>
      </c>
      <c r="AL62" s="332">
        <f t="shared" si="51"/>
        <v>0.49999999896942315</v>
      </c>
      <c r="AM62" s="699">
        <f t="shared" si="52"/>
        <v>0.49974809901174622</v>
      </c>
      <c r="AN62" s="331">
        <f t="shared" si="65"/>
        <v>0.99294537435345864</v>
      </c>
      <c r="AO62" s="332">
        <f t="shared" si="65"/>
        <v>0.99276586905801067</v>
      </c>
      <c r="AP62" s="332">
        <f t="shared" si="65"/>
        <v>0.96425794685830035</v>
      </c>
      <c r="AQ62" s="332">
        <f t="shared" si="65"/>
        <v>0.86251004933375119</v>
      </c>
      <c r="AR62" s="699">
        <f t="shared" si="65"/>
        <v>0.84818117779943425</v>
      </c>
      <c r="AS62" s="328">
        <f t="shared" ca="1" si="54"/>
        <v>0.99999999793884631</v>
      </c>
      <c r="AT62" s="329">
        <f t="shared" ca="1" si="55"/>
        <v>0.99999999793884631</v>
      </c>
      <c r="AU62" s="329">
        <f t="shared" ca="1" si="56"/>
        <v>0.99999999793884631</v>
      </c>
      <c r="AV62" s="329">
        <f t="shared" ca="1" si="57"/>
        <v>0.99672728335262162</v>
      </c>
      <c r="AW62" s="330">
        <f t="shared" si="58"/>
        <v>0</v>
      </c>
      <c r="AX62" s="328">
        <f t="shared" ca="1" si="59"/>
        <v>0.99294537230684565</v>
      </c>
      <c r="AY62" s="329">
        <f t="shared" ca="1" si="59"/>
        <v>0.99276586701176761</v>
      </c>
      <c r="AZ62" s="329">
        <f t="shared" ca="1" si="59"/>
        <v>0.96425794487081651</v>
      </c>
      <c r="BA62" s="329">
        <f t="shared" ca="1" si="59"/>
        <v>0.85968729833676549</v>
      </c>
      <c r="BB62" s="330">
        <f t="shared" si="59"/>
        <v>0</v>
      </c>
      <c r="BC62" s="328">
        <f t="shared" ca="1" si="66"/>
        <v>7.0546276931543472E-3</v>
      </c>
      <c r="BD62" s="329">
        <f t="shared" ca="1" si="60"/>
        <v>0.25880037134786499</v>
      </c>
      <c r="BE62" s="329">
        <f t="shared" ca="1" si="61"/>
        <v>0.25875358525235481</v>
      </c>
      <c r="BF62" s="329">
        <f t="shared" ca="1" si="62"/>
        <v>0.25132330656613294</v>
      </c>
      <c r="BG62" s="329">
        <f t="shared" ca="1" si="63"/>
        <v>0.22406810914049291</v>
      </c>
      <c r="BH62" s="330">
        <f t="shared" ca="1" si="64"/>
        <v>0</v>
      </c>
    </row>
    <row r="63" spans="1:60" x14ac:dyDescent="0.2">
      <c r="A63" s="334">
        <v>2046</v>
      </c>
      <c r="B63" s="931">
        <f t="shared" si="71"/>
        <v>100224.6</v>
      </c>
      <c r="C63" s="932">
        <f t="shared" si="71"/>
        <v>5059.7700000000004</v>
      </c>
      <c r="D63" s="932">
        <f t="shared" si="71"/>
        <v>5123.97</v>
      </c>
      <c r="E63" s="932">
        <f t="shared" si="71"/>
        <v>11472.42</v>
      </c>
      <c r="F63" s="932">
        <f t="shared" si="71"/>
        <v>23141.82</v>
      </c>
      <c r="G63" s="933">
        <f t="shared" si="71"/>
        <v>24041.65</v>
      </c>
      <c r="H63" s="886">
        <f t="shared" si="72"/>
        <v>1</v>
      </c>
      <c r="I63" s="887">
        <f t="shared" si="72"/>
        <v>1</v>
      </c>
      <c r="J63" s="887">
        <f t="shared" si="72"/>
        <v>1</v>
      </c>
      <c r="K63" s="887">
        <f t="shared" si="72"/>
        <v>1</v>
      </c>
      <c r="L63" s="887">
        <f t="shared" si="72"/>
        <v>0.82100063465328255</v>
      </c>
      <c r="M63" s="888">
        <f t="shared" si="72"/>
        <v>1</v>
      </c>
      <c r="N63" s="836">
        <f t="shared" si="32"/>
        <v>9282.1655875453998</v>
      </c>
      <c r="O63" s="732">
        <f t="shared" si="33"/>
        <v>7840.322894290648</v>
      </c>
      <c r="P63" s="732">
        <f t="shared" si="34"/>
        <v>7397.2236653259879</v>
      </c>
      <c r="Q63" s="732">
        <f t="shared" si="35"/>
        <v>6569.7788893721217</v>
      </c>
      <c r="R63" s="732">
        <f t="shared" si="36"/>
        <v>5648.0594135538004</v>
      </c>
      <c r="S63" s="846">
        <f t="shared" si="37"/>
        <v>3825.8594714433666</v>
      </c>
      <c r="T63" s="833">
        <f t="shared" si="38"/>
        <v>1441.8426932547518</v>
      </c>
      <c r="U63" s="294">
        <f t="shared" si="39"/>
        <v>1884.9419222194119</v>
      </c>
      <c r="V63" s="294">
        <f t="shared" si="40"/>
        <v>2712.3866981732781</v>
      </c>
      <c r="W63" s="294">
        <f t="shared" si="41"/>
        <v>3634.1061739915995</v>
      </c>
      <c r="X63" s="295">
        <f t="shared" si="42"/>
        <v>5456.3061161020332</v>
      </c>
      <c r="Y63" s="297">
        <f ca="1">IF(AND(Y$22=TRUE,INDEX(CDRANGE_CLS3,MATCH($A63,$A$24:$A$67,0),MATCH(Y$20,$B$20:$G$20,0))&lt;$D$6/OPDAYS_Cls3),86,payback(C63,T63,disc_rate/12,85))</f>
        <v>4</v>
      </c>
      <c r="Z63" s="298">
        <f ca="1">IF(AND(Z$22=TRUE,INDEX(CDRANGE_CLS3,MATCH($A63,$A$24:$A$67,0),MATCH(Z$20,$B$20:$G$20,0))&lt;$D$6/OPDAYS_Cls3),86,payback(D63,U63,disc_rate/12,85))</f>
        <v>3</v>
      </c>
      <c r="AA63" s="298">
        <f ca="1">IF(AND(AA$22=TRUE,INDEX(CDRANGE_CLS3,MATCH($A63,$A$24:$A$67,0),MATCH(AA$20,$B$20:$G$20,0))&lt;$D$6/OPDAYS_Cls3),86,payback(E63,V63,disc_rate/12,85))</f>
        <v>5</v>
      </c>
      <c r="AB63" s="298">
        <f ca="1">IF(AND(AB$22=TRUE,INDEX(CDRANGE_CLS3,MATCH($A63,$A$24:$A$67,0),MATCH(AB$20,$B$20:$G$20,0))&lt;$D$6/OPDAYS_Cls3),86,payback(F63,W63,disc_rate/12,85))</f>
        <v>7</v>
      </c>
      <c r="AC63" s="299">
        <f>IF(AND(AC$22=TRUE,INDEX(CDRANGE_CLS3,MATCH($A63,$A$24:$A$67,0),MATCH(AC$20,$B$20:$G$20,0))&lt;$D$6/OPDAYS_Cls3),86,payback(G63,X63,disc_rate/12,85))</f>
        <v>86</v>
      </c>
      <c r="AD63" s="300">
        <f t="shared" si="43"/>
        <v>0</v>
      </c>
      <c r="AE63" s="301">
        <f t="shared" si="44"/>
        <v>0</v>
      </c>
      <c r="AF63" s="301">
        <f t="shared" si="45"/>
        <v>0</v>
      </c>
      <c r="AG63" s="301">
        <f t="shared" si="46"/>
        <v>0</v>
      </c>
      <c r="AH63" s="302">
        <f t="shared" si="47"/>
        <v>0</v>
      </c>
      <c r="AI63" s="694">
        <f t="shared" si="48"/>
        <v>0.49999999962087194</v>
      </c>
      <c r="AJ63" s="304">
        <f t="shared" si="49"/>
        <v>0.49999999962087194</v>
      </c>
      <c r="AK63" s="304">
        <f t="shared" si="50"/>
        <v>0.49999999962087194</v>
      </c>
      <c r="AL63" s="304">
        <f t="shared" si="51"/>
        <v>0.49999999962087194</v>
      </c>
      <c r="AM63" s="711">
        <f t="shared" si="52"/>
        <v>0.49988204931764657</v>
      </c>
      <c r="AN63" s="303">
        <f t="shared" si="65"/>
        <v>0.99294537435345864</v>
      </c>
      <c r="AO63" s="304">
        <f t="shared" si="65"/>
        <v>0.99276586905801067</v>
      </c>
      <c r="AP63" s="304">
        <f t="shared" si="65"/>
        <v>0.96425794685830035</v>
      </c>
      <c r="AQ63" s="304">
        <f t="shared" si="65"/>
        <v>0.86234816970972705</v>
      </c>
      <c r="AR63" s="711">
        <f t="shared" si="65"/>
        <v>0.85228268182513889</v>
      </c>
      <c r="AS63" s="300">
        <f t="shared" ca="1" si="54"/>
        <v>0.99999999924174388</v>
      </c>
      <c r="AT63" s="301">
        <f t="shared" ca="1" si="55"/>
        <v>0.99999999924174388</v>
      </c>
      <c r="AU63" s="301">
        <f t="shared" ca="1" si="56"/>
        <v>0.99999999924174388</v>
      </c>
      <c r="AV63" s="301">
        <f t="shared" ca="1" si="57"/>
        <v>0.99672728465125515</v>
      </c>
      <c r="AW63" s="302">
        <f t="shared" si="58"/>
        <v>0</v>
      </c>
      <c r="AX63" s="300">
        <f t="shared" ca="1" si="59"/>
        <v>0.99294537360055168</v>
      </c>
      <c r="AY63" s="301">
        <f t="shared" ca="1" si="59"/>
        <v>0.99276586830523983</v>
      </c>
      <c r="AZ63" s="301">
        <f t="shared" ca="1" si="59"/>
        <v>0.96425794612714588</v>
      </c>
      <c r="BA63" s="301">
        <f t="shared" ca="1" si="59"/>
        <v>0.85952594961875595</v>
      </c>
      <c r="BB63" s="302">
        <f t="shared" si="59"/>
        <v>0</v>
      </c>
      <c r="BC63" s="300">
        <f t="shared" ca="1" si="66"/>
        <v>7.054626399448316E-3</v>
      </c>
      <c r="BD63" s="301">
        <f t="shared" ca="1" si="60"/>
        <v>0.25881133308454818</v>
      </c>
      <c r="BE63" s="301">
        <f t="shared" ca="1" si="61"/>
        <v>0.25876454500736834</v>
      </c>
      <c r="BF63" s="301">
        <f t="shared" ca="1" si="62"/>
        <v>0.25133395160460259</v>
      </c>
      <c r="BG63" s="301">
        <f t="shared" ca="1" si="63"/>
        <v>0.2240355439040326</v>
      </c>
      <c r="BH63" s="302">
        <f t="shared" ca="1" si="64"/>
        <v>0</v>
      </c>
    </row>
    <row r="64" spans="1:60" x14ac:dyDescent="0.2">
      <c r="A64" s="335">
        <v>2047</v>
      </c>
      <c r="B64" s="925">
        <f t="shared" si="71"/>
        <v>100224.6</v>
      </c>
      <c r="C64" s="926">
        <f t="shared" si="71"/>
        <v>5059.7700000000004</v>
      </c>
      <c r="D64" s="926">
        <f t="shared" si="71"/>
        <v>5123.97</v>
      </c>
      <c r="E64" s="926">
        <f t="shared" si="71"/>
        <v>11472.42</v>
      </c>
      <c r="F64" s="926">
        <f t="shared" si="71"/>
        <v>23156.48</v>
      </c>
      <c r="G64" s="927">
        <f t="shared" si="71"/>
        <v>23681.54</v>
      </c>
      <c r="H64" s="886">
        <f t="shared" si="72"/>
        <v>1</v>
      </c>
      <c r="I64" s="887">
        <f t="shared" si="72"/>
        <v>1</v>
      </c>
      <c r="J64" s="887">
        <f t="shared" si="72"/>
        <v>1</v>
      </c>
      <c r="K64" s="887">
        <f t="shared" si="72"/>
        <v>1</v>
      </c>
      <c r="L64" s="887">
        <f t="shared" si="72"/>
        <v>0.82067172826764978</v>
      </c>
      <c r="M64" s="888">
        <f t="shared" si="72"/>
        <v>1</v>
      </c>
      <c r="N64" s="833">
        <f t="shared" si="32"/>
        <v>9235.5464224851166</v>
      </c>
      <c r="O64" s="294">
        <f t="shared" si="33"/>
        <v>7800.9453046874969</v>
      </c>
      <c r="P64" s="294">
        <f t="shared" si="34"/>
        <v>7360.0715171781058</v>
      </c>
      <c r="Q64" s="294">
        <f t="shared" si="35"/>
        <v>6536.7825370053688</v>
      </c>
      <c r="R64" s="294">
        <f t="shared" si="36"/>
        <v>5552.3851700201058</v>
      </c>
      <c r="S64" s="296">
        <f t="shared" si="37"/>
        <v>3575.7243772134707</v>
      </c>
      <c r="T64" s="834">
        <f t="shared" si="38"/>
        <v>1434.6011177976197</v>
      </c>
      <c r="U64" s="308">
        <f t="shared" si="39"/>
        <v>1875.4749053070109</v>
      </c>
      <c r="V64" s="308">
        <f t="shared" si="40"/>
        <v>2698.7638854797478</v>
      </c>
      <c r="W64" s="308">
        <f t="shared" si="41"/>
        <v>3683.1612524650109</v>
      </c>
      <c r="X64" s="309">
        <f t="shared" si="42"/>
        <v>5659.8220452716459</v>
      </c>
      <c r="Y64" s="297">
        <f ca="1">IF(AND(Y$22=TRUE,INDEX(CDRANGE_CLS3,MATCH($A64,$A$24:$A$67,0),MATCH(Y$20,$B$20:$G$20,0))&lt;$D$6/OPDAYS_Cls3),86,payback(C64,T64,disc_rate/12,85))</f>
        <v>4</v>
      </c>
      <c r="Z64" s="298">
        <f ca="1">IF(AND(Z$22=TRUE,INDEX(CDRANGE_CLS3,MATCH($A64,$A$24:$A$67,0),MATCH(Z$20,$B$20:$G$20,0))&lt;$D$6/OPDAYS_Cls3),86,payback(D64,U64,disc_rate/12,85))</f>
        <v>3</v>
      </c>
      <c r="AA64" s="298">
        <f ca="1">IF(AND(AA$22=TRUE,INDEX(CDRANGE_CLS3,MATCH($A64,$A$24:$A$67,0),MATCH(AA$20,$B$20:$G$20,0))&lt;$D$6/OPDAYS_Cls3),86,payback(E64,V64,disc_rate/12,85))</f>
        <v>5</v>
      </c>
      <c r="AB64" s="298">
        <f ca="1">IF(AND(AB$22=TRUE,INDEX(CDRANGE_CLS3,MATCH($A64,$A$24:$A$67,0),MATCH(AB$20,$B$20:$G$20,0))&lt;$D$6/OPDAYS_Cls3),86,payback(F64,W64,disc_rate/12,85))</f>
        <v>7</v>
      </c>
      <c r="AC64" s="299">
        <f>IF(AND(AC$22=TRUE,INDEX(CDRANGE_CLS3,MATCH($A64,$A$24:$A$67,0),MATCH(AC$20,$B$20:$G$20,0))&lt;$D$6/OPDAYS_Cls3),86,payback(G64,X64,disc_rate/12,85))</f>
        <v>86</v>
      </c>
      <c r="AD64" s="314">
        <f t="shared" si="43"/>
        <v>0</v>
      </c>
      <c r="AE64" s="315">
        <f t="shared" si="44"/>
        <v>0</v>
      </c>
      <c r="AF64" s="315">
        <f t="shared" si="45"/>
        <v>0</v>
      </c>
      <c r="AG64" s="315">
        <f t="shared" si="46"/>
        <v>0</v>
      </c>
      <c r="AH64" s="316">
        <f t="shared" si="47"/>
        <v>0</v>
      </c>
      <c r="AI64" s="695">
        <f t="shared" si="48"/>
        <v>0.49999999962087194</v>
      </c>
      <c r="AJ64" s="318">
        <f t="shared" si="49"/>
        <v>0.49999999962087194</v>
      </c>
      <c r="AK64" s="318">
        <f t="shared" si="50"/>
        <v>0.49999999962087194</v>
      </c>
      <c r="AL64" s="318">
        <f t="shared" si="51"/>
        <v>0.49999999962087194</v>
      </c>
      <c r="AM64" s="698">
        <f t="shared" si="52"/>
        <v>0.49996596978666119</v>
      </c>
      <c r="AN64" s="317">
        <f t="shared" si="65"/>
        <v>0.99294537435345864</v>
      </c>
      <c r="AO64" s="318">
        <f t="shared" si="65"/>
        <v>0.99276586905801067</v>
      </c>
      <c r="AP64" s="318">
        <f t="shared" si="65"/>
        <v>0.96425794685830035</v>
      </c>
      <c r="AQ64" s="318">
        <f t="shared" si="65"/>
        <v>0.86218632826727426</v>
      </c>
      <c r="AR64" s="698">
        <f t="shared" si="65"/>
        <v>0.85634271448917654</v>
      </c>
      <c r="AS64" s="314">
        <f t="shared" ca="1" si="54"/>
        <v>0.99999999924174388</v>
      </c>
      <c r="AT64" s="315">
        <f t="shared" ca="1" si="55"/>
        <v>0.99999999924174388</v>
      </c>
      <c r="AU64" s="315">
        <f t="shared" ca="1" si="56"/>
        <v>0.99999999924174388</v>
      </c>
      <c r="AV64" s="315">
        <f t="shared" ca="1" si="57"/>
        <v>0.99672728465125515</v>
      </c>
      <c r="AW64" s="316">
        <f t="shared" si="58"/>
        <v>0</v>
      </c>
      <c r="AX64" s="314">
        <f t="shared" ca="1" si="59"/>
        <v>0.99294537360055168</v>
      </c>
      <c r="AY64" s="315">
        <f t="shared" ca="1" si="59"/>
        <v>0.99276586830523983</v>
      </c>
      <c r="AZ64" s="315">
        <f t="shared" ca="1" si="59"/>
        <v>0.96425794612714588</v>
      </c>
      <c r="BA64" s="315">
        <f t="shared" ca="1" si="59"/>
        <v>0.85936463783727601</v>
      </c>
      <c r="BB64" s="316">
        <f t="shared" si="59"/>
        <v>0</v>
      </c>
      <c r="BC64" s="314">
        <f t="shared" ca="1" si="66"/>
        <v>7.054626399448316E-3</v>
      </c>
      <c r="BD64" s="315">
        <f t="shared" ca="1" si="60"/>
        <v>0.25882229282688513</v>
      </c>
      <c r="BE64" s="315">
        <f t="shared" ca="1" si="61"/>
        <v>0.25877550276839612</v>
      </c>
      <c r="BF64" s="315">
        <f t="shared" ca="1" si="62"/>
        <v>0.25134459470634507</v>
      </c>
      <c r="BG64" s="315">
        <f t="shared" ca="1" si="63"/>
        <v>0.22400298329892535</v>
      </c>
      <c r="BH64" s="316">
        <f t="shared" ca="1" si="64"/>
        <v>0</v>
      </c>
    </row>
    <row r="65" spans="1:60" x14ac:dyDescent="0.2">
      <c r="A65" s="335">
        <v>2048</v>
      </c>
      <c r="B65" s="925">
        <f t="shared" si="71"/>
        <v>100224.6</v>
      </c>
      <c r="C65" s="926">
        <f t="shared" si="71"/>
        <v>5059.7700000000004</v>
      </c>
      <c r="D65" s="926">
        <f t="shared" si="71"/>
        <v>5123.97</v>
      </c>
      <c r="E65" s="926">
        <f t="shared" si="71"/>
        <v>11472.42</v>
      </c>
      <c r="F65" s="926">
        <f t="shared" si="71"/>
        <v>23171.15</v>
      </c>
      <c r="G65" s="927">
        <f t="shared" si="71"/>
        <v>23321.43</v>
      </c>
      <c r="H65" s="886">
        <f t="shared" si="72"/>
        <v>1</v>
      </c>
      <c r="I65" s="887">
        <f t="shared" si="72"/>
        <v>1</v>
      </c>
      <c r="J65" s="887">
        <f t="shared" si="72"/>
        <v>1</v>
      </c>
      <c r="K65" s="887">
        <f t="shared" si="72"/>
        <v>1</v>
      </c>
      <c r="L65" s="887">
        <f t="shared" si="72"/>
        <v>0.82034282188201701</v>
      </c>
      <c r="M65" s="888">
        <f t="shared" si="72"/>
        <v>1</v>
      </c>
      <c r="N65" s="833">
        <f t="shared" si="32"/>
        <v>9243.6823058356986</v>
      </c>
      <c r="O65" s="294">
        <f t="shared" si="33"/>
        <v>7807.8174027875821</v>
      </c>
      <c r="P65" s="294">
        <f t="shared" si="34"/>
        <v>7366.5552356909502</v>
      </c>
      <c r="Q65" s="294">
        <f t="shared" si="35"/>
        <v>6542.5409943587656</v>
      </c>
      <c r="R65" s="294">
        <f t="shared" si="36"/>
        <v>5507.8154499342154</v>
      </c>
      <c r="S65" s="296">
        <f t="shared" si="37"/>
        <v>3450.5918077013635</v>
      </c>
      <c r="T65" s="834">
        <f t="shared" si="38"/>
        <v>1435.8649030481165</v>
      </c>
      <c r="U65" s="308">
        <f t="shared" si="39"/>
        <v>1877.1270701447484</v>
      </c>
      <c r="V65" s="308">
        <f t="shared" si="40"/>
        <v>2701.141311476933</v>
      </c>
      <c r="W65" s="308">
        <f t="shared" si="41"/>
        <v>3735.8668559014832</v>
      </c>
      <c r="X65" s="309">
        <f t="shared" si="42"/>
        <v>5793.0904981343356</v>
      </c>
      <c r="Y65" s="297">
        <f ca="1">IF(AND(Y$22=TRUE,INDEX(CDRANGE_CLS3,MATCH($A65,$A$24:$A$67,0),MATCH(Y$20,$B$20:$G$20,0))&lt;$D$6/OPDAYS_Cls3),86,payback(C65,T65,disc_rate/12,85))</f>
        <v>4</v>
      </c>
      <c r="Z65" s="298">
        <f ca="1">IF(AND(Z$22=TRUE,INDEX(CDRANGE_CLS3,MATCH($A65,$A$24:$A$67,0),MATCH(Z$20,$B$20:$G$20,0))&lt;$D$6/OPDAYS_Cls3),86,payback(D65,U65,disc_rate/12,85))</f>
        <v>3</v>
      </c>
      <c r="AA65" s="298">
        <f ca="1">IF(AND(AA$22=TRUE,INDEX(CDRANGE_CLS3,MATCH($A65,$A$24:$A$67,0),MATCH(AA$20,$B$20:$G$20,0))&lt;$D$6/OPDAYS_Cls3),86,payback(E65,V65,disc_rate/12,85))</f>
        <v>5</v>
      </c>
      <c r="AB65" s="298">
        <f ca="1">IF(AND(AB$22=TRUE,INDEX(CDRANGE_CLS3,MATCH($A65,$A$24:$A$67,0),MATCH(AB$20,$B$20:$G$20,0))&lt;$D$6/OPDAYS_Cls3),86,payback(F65,W65,disc_rate/12,85))</f>
        <v>7</v>
      </c>
      <c r="AC65" s="299">
        <f>IF(AND(AC$22=TRUE,INDEX(CDRANGE_CLS3,MATCH($A65,$A$24:$A$67,0),MATCH(AC$20,$B$20:$G$20,0))&lt;$D$6/OPDAYS_Cls3),86,payback(G65,X65,disc_rate/12,85))</f>
        <v>86</v>
      </c>
      <c r="AD65" s="314">
        <f t="shared" si="43"/>
        <v>0</v>
      </c>
      <c r="AE65" s="315">
        <f t="shared" si="44"/>
        <v>0</v>
      </c>
      <c r="AF65" s="315">
        <f t="shared" si="45"/>
        <v>0</v>
      </c>
      <c r="AG65" s="315">
        <f t="shared" si="46"/>
        <v>0</v>
      </c>
      <c r="AH65" s="316">
        <f t="shared" si="47"/>
        <v>0</v>
      </c>
      <c r="AI65" s="695">
        <f t="shared" si="48"/>
        <v>0.49999999962087194</v>
      </c>
      <c r="AJ65" s="318">
        <f t="shared" si="49"/>
        <v>0.49999999962087194</v>
      </c>
      <c r="AK65" s="318">
        <f t="shared" si="50"/>
        <v>0.49999999962087194</v>
      </c>
      <c r="AL65" s="318">
        <f t="shared" si="51"/>
        <v>0.49999999962087194</v>
      </c>
      <c r="AM65" s="698">
        <f t="shared" si="52"/>
        <v>0.49998619831278412</v>
      </c>
      <c r="AN65" s="317">
        <f t="shared" si="65"/>
        <v>0.99294537435345864</v>
      </c>
      <c r="AO65" s="318">
        <f t="shared" si="65"/>
        <v>0.99276586905801067</v>
      </c>
      <c r="AP65" s="318">
        <f t="shared" si="65"/>
        <v>0.96425794685830035</v>
      </c>
      <c r="AQ65" s="318">
        <f t="shared" si="65"/>
        <v>0.86202430426524257</v>
      </c>
      <c r="AR65" s="698">
        <f t="shared" si="65"/>
        <v>0.8603603794700404</v>
      </c>
      <c r="AS65" s="314">
        <f t="shared" ca="1" si="54"/>
        <v>0.99999999924174388</v>
      </c>
      <c r="AT65" s="315">
        <f t="shared" ca="1" si="55"/>
        <v>0.99999999924174388</v>
      </c>
      <c r="AU65" s="315">
        <f t="shared" ca="1" si="56"/>
        <v>0.99999999924174388</v>
      </c>
      <c r="AV65" s="315">
        <f t="shared" ca="1" si="57"/>
        <v>0.99672728465125515</v>
      </c>
      <c r="AW65" s="316">
        <f t="shared" si="58"/>
        <v>0</v>
      </c>
      <c r="AX65" s="314">
        <f t="shared" ca="1" si="59"/>
        <v>0.99294537360055168</v>
      </c>
      <c r="AY65" s="315">
        <f t="shared" ca="1" si="59"/>
        <v>0.99276586830523983</v>
      </c>
      <c r="AZ65" s="315">
        <f t="shared" ca="1" si="59"/>
        <v>0.96425794612714588</v>
      </c>
      <c r="BA65" s="315">
        <f t="shared" ca="1" si="59"/>
        <v>0.85920314409368259</v>
      </c>
      <c r="BB65" s="316">
        <f t="shared" si="59"/>
        <v>0</v>
      </c>
      <c r="BC65" s="314">
        <f t="shared" ca="1" si="66"/>
        <v>7.054626399448205E-3</v>
      </c>
      <c r="BD65" s="315">
        <f t="shared" ca="1" si="60"/>
        <v>0.25883326586179922</v>
      </c>
      <c r="BE65" s="315">
        <f t="shared" ca="1" si="61"/>
        <v>0.25878647381959796</v>
      </c>
      <c r="BF65" s="315">
        <f t="shared" ca="1" si="62"/>
        <v>0.25135525071662551</v>
      </c>
      <c r="BG65" s="315">
        <f t="shared" ca="1" si="63"/>
        <v>0.22397038320252904</v>
      </c>
      <c r="BH65" s="316">
        <f t="shared" ca="1" si="64"/>
        <v>0</v>
      </c>
    </row>
    <row r="66" spans="1:60" x14ac:dyDescent="0.2">
      <c r="A66" s="335">
        <v>2049</v>
      </c>
      <c r="B66" s="925">
        <f t="shared" si="71"/>
        <v>100224.6</v>
      </c>
      <c r="C66" s="926">
        <f t="shared" si="71"/>
        <v>5059.7700000000004</v>
      </c>
      <c r="D66" s="926">
        <f t="shared" si="71"/>
        <v>5123.97</v>
      </c>
      <c r="E66" s="926">
        <f t="shared" si="71"/>
        <v>11472.42</v>
      </c>
      <c r="F66" s="926">
        <f t="shared" si="71"/>
        <v>23185.82</v>
      </c>
      <c r="G66" s="927">
        <f t="shared" si="71"/>
        <v>22961.33</v>
      </c>
      <c r="H66" s="886">
        <f t="shared" si="72"/>
        <v>1</v>
      </c>
      <c r="I66" s="887">
        <f t="shared" si="72"/>
        <v>1</v>
      </c>
      <c r="J66" s="887">
        <f t="shared" si="72"/>
        <v>1</v>
      </c>
      <c r="K66" s="887">
        <f t="shared" si="72"/>
        <v>1</v>
      </c>
      <c r="L66" s="887">
        <f t="shared" si="72"/>
        <v>0.82001391549638414</v>
      </c>
      <c r="M66" s="888">
        <f t="shared" si="72"/>
        <v>1</v>
      </c>
      <c r="N66" s="833">
        <f t="shared" si="32"/>
        <v>9224.2915466523773</v>
      </c>
      <c r="O66" s="294">
        <f t="shared" si="33"/>
        <v>7791.4387019629976</v>
      </c>
      <c r="P66" s="294">
        <f t="shared" si="34"/>
        <v>7351.1021842056425</v>
      </c>
      <c r="Q66" s="294">
        <f t="shared" si="35"/>
        <v>6528.816503114781</v>
      </c>
      <c r="R66" s="294">
        <f t="shared" si="36"/>
        <v>5460.4510062412328</v>
      </c>
      <c r="S66" s="296">
        <f t="shared" si="37"/>
        <v>3392.4384183683756</v>
      </c>
      <c r="T66" s="834">
        <f t="shared" si="38"/>
        <v>1432.8528446893797</v>
      </c>
      <c r="U66" s="308">
        <f t="shared" si="39"/>
        <v>1873.1893624467348</v>
      </c>
      <c r="V66" s="308">
        <f t="shared" si="40"/>
        <v>2695.4750435375963</v>
      </c>
      <c r="W66" s="308">
        <f t="shared" si="41"/>
        <v>3763.8405404111445</v>
      </c>
      <c r="X66" s="309">
        <f t="shared" si="42"/>
        <v>5831.8531282840013</v>
      </c>
      <c r="Y66" s="297">
        <f ca="1">IF(AND(Y$22=TRUE,INDEX(CDRANGE_CLS3,MATCH($A66,$A$24:$A$67,0),MATCH(Y$20,$B$20:$G$20,0))&lt;$D$6/OPDAYS_Cls3),86,payback(C66,T66,disc_rate/12,85))</f>
        <v>4</v>
      </c>
      <c r="Z66" s="298">
        <f ca="1">IF(AND(Z$22=TRUE,INDEX(CDRANGE_CLS3,MATCH($A66,$A$24:$A$67,0),MATCH(Z$20,$B$20:$G$20,0))&lt;$D$6/OPDAYS_Cls3),86,payback(D66,U66,disc_rate/12,85))</f>
        <v>3</v>
      </c>
      <c r="AA66" s="298">
        <f ca="1">IF(AND(AA$22=TRUE,INDEX(CDRANGE_CLS3,MATCH($A66,$A$24:$A$67,0),MATCH(AA$20,$B$20:$G$20,0))&lt;$D$6/OPDAYS_Cls3),86,payback(E66,V66,disc_rate/12,85))</f>
        <v>5</v>
      </c>
      <c r="AB66" s="298">
        <f ca="1">IF(AND(AB$22=TRUE,INDEX(CDRANGE_CLS3,MATCH($A66,$A$24:$A$67,0),MATCH(AB$20,$B$20:$G$20,0))&lt;$D$6/OPDAYS_Cls3),86,payback(F66,W66,disc_rate/12,85))</f>
        <v>7</v>
      </c>
      <c r="AC66" s="299">
        <f>IF(AND(AC$22=TRUE,INDEX(CDRANGE_CLS3,MATCH($A66,$A$24:$A$67,0),MATCH(AC$20,$B$20:$G$20,0))&lt;$D$6/OPDAYS_Cls3),86,payback(G66,X66,disc_rate/12,85))</f>
        <v>86</v>
      </c>
      <c r="AD66" s="314">
        <f t="shared" si="43"/>
        <v>0</v>
      </c>
      <c r="AE66" s="315">
        <f t="shared" si="44"/>
        <v>0</v>
      </c>
      <c r="AF66" s="315">
        <f t="shared" si="45"/>
        <v>0</v>
      </c>
      <c r="AG66" s="315">
        <f t="shared" si="46"/>
        <v>0</v>
      </c>
      <c r="AH66" s="316">
        <f t="shared" si="47"/>
        <v>0</v>
      </c>
      <c r="AI66" s="695">
        <f t="shared" si="48"/>
        <v>0.49999999962087194</v>
      </c>
      <c r="AJ66" s="318">
        <f t="shared" si="49"/>
        <v>0.49999999962087194</v>
      </c>
      <c r="AK66" s="318">
        <f t="shared" si="50"/>
        <v>0.49999999962087194</v>
      </c>
      <c r="AL66" s="318">
        <f t="shared" si="51"/>
        <v>0.49999999962087194</v>
      </c>
      <c r="AM66" s="698">
        <f t="shared" si="52"/>
        <v>0.49999473991021715</v>
      </c>
      <c r="AN66" s="317">
        <f t="shared" si="65"/>
        <v>0.99294537435345864</v>
      </c>
      <c r="AO66" s="318">
        <f t="shared" si="65"/>
        <v>0.99276586905801067</v>
      </c>
      <c r="AP66" s="318">
        <f t="shared" si="65"/>
        <v>0.96425794685830035</v>
      </c>
      <c r="AQ66" s="318">
        <f t="shared" si="65"/>
        <v>0.86186220812776648</v>
      </c>
      <c r="AR66" s="698">
        <f t="shared" si="65"/>
        <v>0.86433479059280294</v>
      </c>
      <c r="AS66" s="314">
        <f t="shared" ca="1" si="54"/>
        <v>0.99999999924174388</v>
      </c>
      <c r="AT66" s="315">
        <f t="shared" ca="1" si="55"/>
        <v>0.99999999924174388</v>
      </c>
      <c r="AU66" s="315">
        <f t="shared" ca="1" si="56"/>
        <v>0.99999999924174388</v>
      </c>
      <c r="AV66" s="315">
        <f t="shared" ca="1" si="57"/>
        <v>0.99672728465125515</v>
      </c>
      <c r="AW66" s="316">
        <f t="shared" si="58"/>
        <v>0</v>
      </c>
      <c r="AX66" s="314">
        <f t="shared" ca="1" si="59"/>
        <v>0.99294537360055168</v>
      </c>
      <c r="AY66" s="315">
        <f t="shared" ca="1" si="59"/>
        <v>0.99276586830523983</v>
      </c>
      <c r="AZ66" s="315">
        <f t="shared" ca="1" si="59"/>
        <v>0.96425794612714588</v>
      </c>
      <c r="BA66" s="315">
        <f t="shared" ca="1" si="59"/>
        <v>0.8590415784507236</v>
      </c>
      <c r="BB66" s="316">
        <f t="shared" si="59"/>
        <v>0</v>
      </c>
      <c r="BC66" s="314">
        <f t="shared" ca="1" si="66"/>
        <v>7.054626399448205E-3</v>
      </c>
      <c r="BD66" s="315">
        <f t="shared" ca="1" si="60"/>
        <v>0.25884424471315509</v>
      </c>
      <c r="BE66" s="315">
        <f t="shared" ca="1" si="61"/>
        <v>0.25879745068619014</v>
      </c>
      <c r="BF66" s="315">
        <f t="shared" ca="1" si="62"/>
        <v>0.25136591237530354</v>
      </c>
      <c r="BG66" s="315">
        <f t="shared" ca="1" si="63"/>
        <v>0.22393776582590302</v>
      </c>
      <c r="BH66" s="316">
        <f t="shared" ca="1" si="64"/>
        <v>0</v>
      </c>
    </row>
    <row r="67" spans="1:60" ht="13.5" thickBot="1" x14ac:dyDescent="0.25">
      <c r="A67" s="320">
        <v>2050</v>
      </c>
      <c r="B67" s="928">
        <f t="shared" si="71"/>
        <v>100224.6</v>
      </c>
      <c r="C67" s="929">
        <f t="shared" si="71"/>
        <v>5059.7700000000004</v>
      </c>
      <c r="D67" s="929">
        <f t="shared" si="71"/>
        <v>5123.97</v>
      </c>
      <c r="E67" s="929">
        <f t="shared" si="71"/>
        <v>11472.42</v>
      </c>
      <c r="F67" s="929">
        <f t="shared" si="71"/>
        <v>23200.49</v>
      </c>
      <c r="G67" s="930">
        <f t="shared" si="71"/>
        <v>22601.22</v>
      </c>
      <c r="H67" s="886">
        <f t="shared" si="72"/>
        <v>1</v>
      </c>
      <c r="I67" s="887">
        <f t="shared" si="72"/>
        <v>1</v>
      </c>
      <c r="J67" s="887">
        <f t="shared" si="72"/>
        <v>1</v>
      </c>
      <c r="K67" s="887">
        <f t="shared" si="72"/>
        <v>1</v>
      </c>
      <c r="L67" s="887">
        <f t="shared" si="72"/>
        <v>0.81968500911075137</v>
      </c>
      <c r="M67" s="888">
        <f t="shared" si="72"/>
        <v>1</v>
      </c>
      <c r="N67" s="989">
        <f t="shared" si="32"/>
        <v>9221.0232777099136</v>
      </c>
      <c r="O67" s="884">
        <f t="shared" si="33"/>
        <v>7788.6781086970595</v>
      </c>
      <c r="P67" s="884">
        <f t="shared" si="34"/>
        <v>7348.4976070584426</v>
      </c>
      <c r="Q67" s="884">
        <f t="shared" si="35"/>
        <v>6526.50327091692</v>
      </c>
      <c r="R67" s="884">
        <f t="shared" si="36"/>
        <v>5425.2932299318027</v>
      </c>
      <c r="S67" s="885">
        <f t="shared" si="37"/>
        <v>3353.6751808468912</v>
      </c>
      <c r="T67" s="837">
        <f t="shared" si="38"/>
        <v>1432.3451690128541</v>
      </c>
      <c r="U67" s="322">
        <f t="shared" si="39"/>
        <v>1872.525670651471</v>
      </c>
      <c r="V67" s="322">
        <f t="shared" si="40"/>
        <v>2694.5200067929936</v>
      </c>
      <c r="W67" s="322">
        <f t="shared" si="41"/>
        <v>3795.7300477781109</v>
      </c>
      <c r="X67" s="323">
        <f t="shared" si="42"/>
        <v>5867.3480968630229</v>
      </c>
      <c r="Y67" s="994">
        <f ca="1">IF(AND(Y$22=TRUE,INDEX(CDRANGE_CLS3,MATCH($A67,$A$24:$A$67,0),MATCH(Y$20,$B$20:$G$20,0))&lt;$D$6/OPDAYS_Cls3),86,payback(C67,T67,disc_rate/12,85))</f>
        <v>4</v>
      </c>
      <c r="Z67" s="995">
        <f ca="1">IF(AND(Z$22=TRUE,INDEX(CDRANGE_CLS3,MATCH($A67,$A$24:$A$67,0),MATCH(Z$20,$B$20:$G$20,0))&lt;$D$6/OPDAYS_Cls3),86,payback(D67,U67,disc_rate/12,85))</f>
        <v>3</v>
      </c>
      <c r="AA67" s="995">
        <f ca="1">IF(AND(AA$22=TRUE,INDEX(CDRANGE_CLS3,MATCH($A67,$A$24:$A$67,0),MATCH(AA$20,$B$20:$G$20,0))&lt;$D$6/OPDAYS_Cls3),86,payback(E67,V67,disc_rate/12,85))</f>
        <v>5</v>
      </c>
      <c r="AB67" s="995">
        <f ca="1">IF(AND(AB$22=TRUE,INDEX(CDRANGE_CLS3,MATCH($A67,$A$24:$A$67,0),MATCH(AB$20,$B$20:$G$20,0))&lt;$D$6/OPDAYS_Cls3),86,payback(F67,W67,disc_rate/12,85))</f>
        <v>7</v>
      </c>
      <c r="AC67" s="996">
        <f>IF(AND(AC$22=TRUE,INDEX(CDRANGE_CLS3,MATCH($A67,$A$24:$A$67,0),MATCH(AC$20,$B$20:$G$20,0))&lt;$D$6/OPDAYS_Cls3),86,payback(G67,X67,disc_rate/12,85))</f>
        <v>86</v>
      </c>
      <c r="AD67" s="328">
        <f t="shared" si="43"/>
        <v>0</v>
      </c>
      <c r="AE67" s="329">
        <f t="shared" si="44"/>
        <v>0</v>
      </c>
      <c r="AF67" s="329">
        <f t="shared" si="45"/>
        <v>0</v>
      </c>
      <c r="AG67" s="329">
        <f t="shared" si="46"/>
        <v>0</v>
      </c>
      <c r="AH67" s="330">
        <f t="shared" si="47"/>
        <v>0</v>
      </c>
      <c r="AI67" s="696">
        <f t="shared" si="48"/>
        <v>0.49999999962087194</v>
      </c>
      <c r="AJ67" s="332">
        <f t="shared" si="49"/>
        <v>0.49999999962087194</v>
      </c>
      <c r="AK67" s="332">
        <f t="shared" si="50"/>
        <v>0.49999999962087194</v>
      </c>
      <c r="AL67" s="332">
        <f t="shared" si="51"/>
        <v>0.49999999962087194</v>
      </c>
      <c r="AM67" s="699">
        <f t="shared" si="52"/>
        <v>0.49999890515837031</v>
      </c>
      <c r="AN67" s="331">
        <f t="shared" si="65"/>
        <v>0.99294537435345864</v>
      </c>
      <c r="AO67" s="332">
        <f t="shared" si="65"/>
        <v>0.99276586905801067</v>
      </c>
      <c r="AP67" s="332">
        <f t="shared" si="65"/>
        <v>0.96425794685830035</v>
      </c>
      <c r="AQ67" s="332">
        <f t="shared" si="65"/>
        <v>0.86170003990699406</v>
      </c>
      <c r="AR67" s="699">
        <f t="shared" si="65"/>
        <v>0.86826539789271351</v>
      </c>
      <c r="AS67" s="328">
        <f t="shared" ca="1" si="54"/>
        <v>0.99999999924174388</v>
      </c>
      <c r="AT67" s="329">
        <f t="shared" ca="1" si="55"/>
        <v>0.99999999924174388</v>
      </c>
      <c r="AU67" s="329">
        <f t="shared" ca="1" si="56"/>
        <v>0.99999999924174388</v>
      </c>
      <c r="AV67" s="329">
        <f t="shared" ca="1" si="57"/>
        <v>0.99672728465125515</v>
      </c>
      <c r="AW67" s="330">
        <f t="shared" si="58"/>
        <v>0</v>
      </c>
      <c r="AX67" s="328">
        <f t="shared" ca="1" si="59"/>
        <v>0.99294537360055168</v>
      </c>
      <c r="AY67" s="329">
        <f t="shared" ca="1" si="59"/>
        <v>0.99276586830523983</v>
      </c>
      <c r="AZ67" s="329">
        <f t="shared" ca="1" si="59"/>
        <v>0.96425794612714588</v>
      </c>
      <c r="BA67" s="329">
        <f t="shared" ca="1" si="59"/>
        <v>0.85887994096037634</v>
      </c>
      <c r="BB67" s="330">
        <f t="shared" si="59"/>
        <v>0</v>
      </c>
      <c r="BC67" s="328">
        <f t="shared" ca="1" si="66"/>
        <v>7.0546263994484271E-3</v>
      </c>
      <c r="BD67" s="329">
        <f t="shared" ca="1" si="60"/>
        <v>0.25885522937878219</v>
      </c>
      <c r="BE67" s="329">
        <f t="shared" ca="1" si="61"/>
        <v>0.25880843336600245</v>
      </c>
      <c r="BF67" s="329">
        <f t="shared" ca="1" si="62"/>
        <v>0.25137657968027127</v>
      </c>
      <c r="BG67" s="329">
        <f t="shared" ca="1" si="63"/>
        <v>0.22390513117549576</v>
      </c>
      <c r="BH67" s="330">
        <f t="shared" ca="1" si="64"/>
        <v>0</v>
      </c>
    </row>
    <row r="68" spans="1:60" x14ac:dyDescent="0.2">
      <c r="A68" s="245" t="s">
        <v>249</v>
      </c>
      <c r="B68" s="913"/>
      <c r="C68" s="913"/>
      <c r="D68" s="913"/>
      <c r="E68" s="913"/>
      <c r="F68" s="913"/>
      <c r="G68" s="873"/>
      <c r="N68" s="990"/>
      <c r="O68" s="990"/>
      <c r="P68" s="990"/>
      <c r="Q68" s="990"/>
      <c r="R68" s="990"/>
      <c r="S68" s="990"/>
      <c r="W68" s="245" t="s">
        <v>40</v>
      </c>
      <c r="X68" s="245" t="s">
        <v>40</v>
      </c>
      <c r="Y68" s="252"/>
      <c r="Z68" s="252"/>
      <c r="AA68" s="252"/>
      <c r="AB68" s="252"/>
      <c r="AC68" s="252"/>
      <c r="AD68" s="340"/>
      <c r="AE68" s="252"/>
      <c r="AF68" s="252"/>
      <c r="AG68" s="252"/>
      <c r="AH68" s="252"/>
    </row>
    <row r="69" spans="1:60" ht="13.5" thickBot="1" x14ac:dyDescent="0.25"/>
    <row r="70" spans="1:60" s="29" customFormat="1" ht="15" x14ac:dyDescent="0.25">
      <c r="A70" s="351"/>
      <c r="B70" s="1561" t="s">
        <v>195</v>
      </c>
      <c r="C70" s="1562"/>
      <c r="D70" s="1562"/>
      <c r="E70" s="1562"/>
      <c r="F70" s="1562"/>
      <c r="G70" s="1562"/>
      <c r="H70" s="1562"/>
      <c r="I70" s="1562"/>
      <c r="J70" s="1562"/>
      <c r="K70" s="1562"/>
      <c r="L70" s="1562"/>
      <c r="M70" s="1562"/>
      <c r="N70" s="1563"/>
      <c r="O70" s="1561" t="s">
        <v>196</v>
      </c>
      <c r="P70" s="1562"/>
      <c r="Q70" s="1562"/>
      <c r="R70" s="1562"/>
      <c r="S70" s="1562"/>
      <c r="T70" s="1562"/>
      <c r="U70" s="1562"/>
      <c r="V70" s="1562"/>
      <c r="W70" s="1562"/>
      <c r="X70" s="1562"/>
      <c r="Y70" s="1562"/>
      <c r="Z70" s="1562"/>
      <c r="AA70" s="1563"/>
    </row>
    <row r="71" spans="1:60" x14ac:dyDescent="0.2">
      <c r="A71" s="342"/>
      <c r="B71" s="1558" t="s">
        <v>121</v>
      </c>
      <c r="C71" s="1559"/>
      <c r="D71" s="1559"/>
      <c r="E71" s="1559"/>
      <c r="F71" s="1559"/>
      <c r="G71" s="1559"/>
      <c r="H71" s="1559"/>
      <c r="I71" s="1559"/>
      <c r="J71" s="1559"/>
      <c r="K71" s="1559"/>
      <c r="L71" s="1560"/>
      <c r="M71" s="400"/>
      <c r="N71" s="343"/>
      <c r="O71" s="1558" t="s">
        <v>121</v>
      </c>
      <c r="P71" s="1559"/>
      <c r="Q71" s="1559"/>
      <c r="R71" s="1559"/>
      <c r="S71" s="1559"/>
      <c r="T71" s="1559"/>
      <c r="U71" s="1559"/>
      <c r="V71" s="1559"/>
      <c r="W71" s="1559"/>
      <c r="X71" s="1559"/>
      <c r="Y71" s="1560"/>
      <c r="Z71" s="400"/>
      <c r="AA71" s="343"/>
      <c r="AC71" s="1060" t="s">
        <v>276</v>
      </c>
      <c r="AD71" s="252" t="b">
        <f>INDEX(TECH_OPT_FUEL2_Cls1,MATCH(RIGHT(O70),TECH_OPT_ROWS_Cls1,0))&lt;&gt;"N/A"</f>
        <v>0</v>
      </c>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2"/>
      <c r="AC72" s="1060" t="s">
        <v>277</v>
      </c>
      <c r="AD72" s="252">
        <f>MATCH(RIGHT(O70),TECH_OPT_ROWS_Cls1,0)</f>
        <v>2</v>
      </c>
    </row>
    <row r="73" spans="1:60" s="246" customFormat="1" ht="13.5" thickTop="1" thickBot="1" x14ac:dyDescent="0.25">
      <c r="A73" s="353" t="s">
        <v>124</v>
      </c>
      <c r="B73" s="358">
        <f t="array" ref="B73:L73">TRANSPOSE(Cls3CentTruckShr)</f>
        <v>0.16490316390132354</v>
      </c>
      <c r="C73" s="359">
        <v>0.14150050624583405</v>
      </c>
      <c r="D73" s="359">
        <v>5.0842757108027201E-2</v>
      </c>
      <c r="E73" s="359">
        <v>1.7493235097392132E-2</v>
      </c>
      <c r="F73" s="359">
        <v>6.5645600537602268E-3</v>
      </c>
      <c r="G73" s="359">
        <v>1.3068268788829179E-4</v>
      </c>
      <c r="H73" s="359">
        <v>2.9863696966199553E-3</v>
      </c>
      <c r="I73" s="359">
        <v>0</v>
      </c>
      <c r="J73" s="359">
        <v>0</v>
      </c>
      <c r="K73" s="359">
        <v>5.0573390409248292E-4</v>
      </c>
      <c r="L73" s="396">
        <v>0</v>
      </c>
      <c r="M73" s="402"/>
      <c r="N73" s="354"/>
      <c r="O73" s="358">
        <f t="array" ref="O73:Y73">TRANSPOSE(Cls3NCentTruckShr)</f>
        <v>0.27324001996593789</v>
      </c>
      <c r="P73" s="359">
        <v>0.25610450783680394</v>
      </c>
      <c r="Q73" s="359">
        <v>4.6572125423937315E-2</v>
      </c>
      <c r="R73" s="359">
        <v>2.2779497082922668E-2</v>
      </c>
      <c r="S73" s="359">
        <v>5.0811779544371336E-3</v>
      </c>
      <c r="T73" s="359">
        <v>2.5955840495899339E-3</v>
      </c>
      <c r="U73" s="359">
        <v>4.3441677754441459E-3</v>
      </c>
      <c r="V73" s="359">
        <v>3.7558983870508854E-3</v>
      </c>
      <c r="W73" s="359">
        <v>4.897828379299261E-4</v>
      </c>
      <c r="X73" s="359">
        <v>0</v>
      </c>
      <c r="Y73" s="1317">
        <v>1.1022999100839563E-4</v>
      </c>
      <c r="Z73" s="402"/>
      <c r="AA73" s="354"/>
    </row>
    <row r="74" spans="1:60" s="246" customFormat="1" x14ac:dyDescent="0.2">
      <c r="A74" s="349" t="s">
        <v>125</v>
      </c>
      <c r="B74" s="1029">
        <f t="array" ref="B74:L74">TRANSPOSE(Cls3CentVMTShr)</f>
        <v>7.4407503791532936E-2</v>
      </c>
      <c r="C74" s="1030">
        <v>0.15052192967997111</v>
      </c>
      <c r="D74" s="1030">
        <v>8.9028098283245441E-2</v>
      </c>
      <c r="E74" s="1030">
        <v>4.5356257743642811E-2</v>
      </c>
      <c r="F74" s="1030">
        <v>2.1016507050137231E-2</v>
      </c>
      <c r="G74" s="1030">
        <v>4.9007047894213725E-4</v>
      </c>
      <c r="H74" s="1030">
        <v>1.4797621296467818E-2</v>
      </c>
      <c r="I74" s="1030">
        <v>0</v>
      </c>
      <c r="J74" s="1030">
        <v>0</v>
      </c>
      <c r="K74" s="1030">
        <v>3.7103078033661591E-3</v>
      </c>
      <c r="L74" s="1318">
        <v>0</v>
      </c>
      <c r="M74" s="1319"/>
      <c r="N74" s="1320"/>
      <c r="O74" s="1029">
        <f t="array" ref="O74:Y74">TRANSPOSE(Cls3NCentVMTShr)</f>
        <v>0.11481596497083862</v>
      </c>
      <c r="P74" s="1030">
        <v>0.26987209279577573</v>
      </c>
      <c r="Q74" s="1030">
        <v>8.3836105982992667E-2</v>
      </c>
      <c r="R74" s="1030">
        <v>5.9842896537765707E-2</v>
      </c>
      <c r="S74" s="1030">
        <v>1.6413649143963899E-2</v>
      </c>
      <c r="T74" s="1030">
        <v>1.0165768727376887E-2</v>
      </c>
      <c r="U74" s="1030">
        <v>2.0700108148562976E-2</v>
      </c>
      <c r="V74" s="1030">
        <v>2.0956833812228508E-2</v>
      </c>
      <c r="W74" s="1030">
        <v>3.1584958359553582E-3</v>
      </c>
      <c r="X74" s="1030">
        <v>0</v>
      </c>
      <c r="Y74" s="1031">
        <v>9.0978791723388369E-4</v>
      </c>
      <c r="Z74" s="1319"/>
      <c r="AA74" s="1320"/>
      <c r="AB74" s="1574" t="str">
        <f>"% of miles on f2 for Tech "&amp; RIGHT(O69)&amp;" adopters"</f>
        <v>% of miles on f2 for Tech  adopters</v>
      </c>
      <c r="AC74" s="1575"/>
      <c r="AD74" s="1576"/>
      <c r="AE74" s="1345" t="s">
        <v>307</v>
      </c>
      <c r="AF74" s="1346"/>
      <c r="AG74" s="1346"/>
      <c r="AH74" s="1336" t="s">
        <v>306</v>
      </c>
      <c r="AI74" s="1337"/>
    </row>
    <row r="75" spans="1:60" ht="13.5" thickBot="1" x14ac:dyDescent="0.25">
      <c r="A75" s="1048" t="s">
        <v>275</v>
      </c>
      <c r="B75" s="1039">
        <f t="array" ref="B75:L75">TRANSPOSE(Cls3CentVMT/OPDAYS_Cls3)</f>
        <v>49.202805162026571</v>
      </c>
      <c r="C75" s="1040">
        <v>115.99623692884222</v>
      </c>
      <c r="D75" s="1040">
        <v>190.94140758026836</v>
      </c>
      <c r="E75" s="1040">
        <v>282.72824571583544</v>
      </c>
      <c r="F75" s="1040">
        <v>349.10577157713089</v>
      </c>
      <c r="G75" s="1040">
        <v>408.92399999999998</v>
      </c>
      <c r="H75" s="1040">
        <v>540.31926836851005</v>
      </c>
      <c r="I75" s="1040">
        <v>600</v>
      </c>
      <c r="J75" s="1040">
        <v>680</v>
      </c>
      <c r="K75" s="1040">
        <v>800.00000000000011</v>
      </c>
      <c r="L75" s="1041">
        <v>800</v>
      </c>
      <c r="M75" s="1037"/>
      <c r="N75" s="1038"/>
      <c r="O75" s="1039">
        <f t="array" ref="O75:Y75">TRANSPOSE(Cls3NCentVMT/OPDAYS_Cls3)</f>
        <v>45.820527909508108</v>
      </c>
      <c r="P75" s="1040">
        <v>114.90604343518244</v>
      </c>
      <c r="Q75" s="1040">
        <v>196.29405935940918</v>
      </c>
      <c r="R75" s="1040">
        <v>286.46435582159182</v>
      </c>
      <c r="S75" s="1040">
        <v>352.24339419308075</v>
      </c>
      <c r="T75" s="1040">
        <v>427.07804424634116</v>
      </c>
      <c r="U75" s="1040">
        <v>519.59880241076587</v>
      </c>
      <c r="V75" s="1040">
        <v>608.4346682070543</v>
      </c>
      <c r="W75" s="1040">
        <v>703.2</v>
      </c>
      <c r="X75" s="1040">
        <v>760</v>
      </c>
      <c r="Y75" s="1321">
        <v>900</v>
      </c>
      <c r="Z75" s="1049"/>
      <c r="AA75" s="1038"/>
      <c r="AB75" s="1051" t="s">
        <v>188</v>
      </c>
      <c r="AC75" s="1052" t="s">
        <v>15</v>
      </c>
      <c r="AD75" s="1053" t="s">
        <v>18</v>
      </c>
      <c r="AE75" s="348" t="s">
        <v>188</v>
      </c>
      <c r="AF75" s="1347" t="s">
        <v>15</v>
      </c>
      <c r="AG75" s="1347" t="s">
        <v>18</v>
      </c>
      <c r="AH75" s="1348" t="s">
        <v>188</v>
      </c>
      <c r="AI75" s="1349" t="s">
        <v>15</v>
      </c>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405">
        <f>SUMPRODUCT(B76:L76,$B$74:$L$74)</f>
        <v>0</v>
      </c>
      <c r="N76" s="987">
        <f>SUMPRODUCT(B76:L76,$B$73:$L$73)</f>
        <v>0</v>
      </c>
      <c r="O76" s="360">
        <v>0</v>
      </c>
      <c r="P76" s="361">
        <v>0</v>
      </c>
      <c r="Q76" s="361">
        <v>0</v>
      </c>
      <c r="R76" s="361">
        <v>0</v>
      </c>
      <c r="S76" s="361">
        <v>0</v>
      </c>
      <c r="T76" s="361">
        <v>0</v>
      </c>
      <c r="U76" s="361">
        <v>0</v>
      </c>
      <c r="V76" s="361">
        <v>0</v>
      </c>
      <c r="W76" s="361">
        <v>0</v>
      </c>
      <c r="X76" s="361">
        <v>0</v>
      </c>
      <c r="Y76" s="397">
        <v>0</v>
      </c>
      <c r="Z76" s="405">
        <f>SUMPRODUCT(O76:Y76,$O$74:$Y$74)</f>
        <v>0</v>
      </c>
      <c r="AA76" s="987">
        <f>SUMPRODUCT(O76:Y76,$O$73:$Y$73)</f>
        <v>0</v>
      </c>
      <c r="AB76" s="1054">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1055">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334">
        <f>AB76*AH76+AC76*AI76</f>
        <v>0</v>
      </c>
      <c r="AE76" s="1338">
        <f t="shared" ref="AE76:AE90" si="73">SUMPRODUCT($B$74:$L$74,B76:L76)</f>
        <v>0</v>
      </c>
      <c r="AF76" s="1339">
        <f t="shared" ref="AF76:AF90" si="74">SUMPRODUCT($O$74:$Y$74,O76:Y76)</f>
        <v>0</v>
      </c>
      <c r="AG76" s="1339">
        <f t="shared" ref="AG76:AG90" si="75">SUM(AE76:AF76)</f>
        <v>0</v>
      </c>
      <c r="AH76" s="1280">
        <f>IF(AG76&gt;0,AE76/AG76,0)</f>
        <v>0</v>
      </c>
      <c r="AI76" s="1340">
        <f>IF(AG76&gt;0,AF76/AG76,0)</f>
        <v>0</v>
      </c>
      <c r="AJ76" s="245"/>
      <c r="AK76" s="245"/>
      <c r="AL76" s="245"/>
      <c r="AM76" s="245"/>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6">SUMPRODUCT(B77:L77,$B$74:$L$74)</f>
        <v>0</v>
      </c>
      <c r="N77" s="316">
        <f t="shared" ref="N77:N119" si="77">SUMPRODUCT(B77:L77,$B$73:$L$73)</f>
        <v>0</v>
      </c>
      <c r="O77" s="362">
        <v>0</v>
      </c>
      <c r="P77" s="363">
        <v>0</v>
      </c>
      <c r="Q77" s="363">
        <v>0</v>
      </c>
      <c r="R77" s="363">
        <v>0</v>
      </c>
      <c r="S77" s="363">
        <v>0</v>
      </c>
      <c r="T77" s="363">
        <v>0</v>
      </c>
      <c r="U77" s="363">
        <v>0</v>
      </c>
      <c r="V77" s="363">
        <v>0</v>
      </c>
      <c r="W77" s="363">
        <v>0</v>
      </c>
      <c r="X77" s="363">
        <v>0</v>
      </c>
      <c r="Y77" s="398">
        <v>0</v>
      </c>
      <c r="Z77" s="314">
        <f t="shared" ref="Z77:Z119" si="78">SUMPRODUCT(O77:Y77,$O$74:$Y$74)</f>
        <v>0</v>
      </c>
      <c r="AA77" s="316">
        <f t="shared" ref="AA77:AA119" si="79">SUMPRODUCT(O77:Y77,$O$73:$Y$73)</f>
        <v>0</v>
      </c>
      <c r="AB77" s="1054">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1055">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334">
        <f t="shared" ref="AD77:AD101" si="80">AB77*AH77+AC77*AI77</f>
        <v>0</v>
      </c>
      <c r="AE77" s="1338">
        <f t="shared" si="73"/>
        <v>0</v>
      </c>
      <c r="AF77" s="1339">
        <f t="shared" si="74"/>
        <v>0</v>
      </c>
      <c r="AG77" s="1339">
        <f t="shared" si="75"/>
        <v>0</v>
      </c>
      <c r="AH77" s="1280">
        <f t="shared" ref="AH77:AH119" si="81">IF(AG77&gt;0,AE77/AG77,0)</f>
        <v>0</v>
      </c>
      <c r="AI77" s="1340">
        <f t="shared" ref="AI77:AI119" si="82">IF(AG77&gt;0,AF77/AG77,0)</f>
        <v>0</v>
      </c>
      <c r="AJ77" s="245"/>
      <c r="AK77" s="245"/>
      <c r="AL77" s="245"/>
      <c r="AM77" s="245"/>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6"/>
        <v>0</v>
      </c>
      <c r="N78" s="316">
        <f t="shared" si="77"/>
        <v>0</v>
      </c>
      <c r="O78" s="362">
        <v>0</v>
      </c>
      <c r="P78" s="363">
        <v>0</v>
      </c>
      <c r="Q78" s="363">
        <v>0</v>
      </c>
      <c r="R78" s="363">
        <v>0</v>
      </c>
      <c r="S78" s="363">
        <v>0</v>
      </c>
      <c r="T78" s="363">
        <v>0</v>
      </c>
      <c r="U78" s="363">
        <v>0</v>
      </c>
      <c r="V78" s="363">
        <v>0</v>
      </c>
      <c r="W78" s="363">
        <v>0</v>
      </c>
      <c r="X78" s="363">
        <v>0</v>
      </c>
      <c r="Y78" s="398">
        <v>0</v>
      </c>
      <c r="Z78" s="314">
        <f t="shared" si="78"/>
        <v>0</v>
      </c>
      <c r="AA78" s="316">
        <f t="shared" si="79"/>
        <v>0</v>
      </c>
      <c r="AB78" s="1054">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1055">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334">
        <f t="shared" si="80"/>
        <v>0</v>
      </c>
      <c r="AE78" s="1338">
        <f t="shared" si="73"/>
        <v>0</v>
      </c>
      <c r="AF78" s="1339">
        <f t="shared" si="74"/>
        <v>0</v>
      </c>
      <c r="AG78" s="1339">
        <f t="shared" si="75"/>
        <v>0</v>
      </c>
      <c r="AH78" s="1280">
        <f t="shared" si="81"/>
        <v>0</v>
      </c>
      <c r="AI78" s="1340">
        <f t="shared" si="82"/>
        <v>0</v>
      </c>
      <c r="AJ78" s="245"/>
      <c r="AK78" s="245"/>
      <c r="AL78" s="245"/>
      <c r="AM78" s="245"/>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6"/>
        <v>0</v>
      </c>
      <c r="N79" s="330">
        <f t="shared" si="77"/>
        <v>0</v>
      </c>
      <c r="O79" s="364">
        <v>0</v>
      </c>
      <c r="P79" s="365">
        <v>0</v>
      </c>
      <c r="Q79" s="365">
        <v>0</v>
      </c>
      <c r="R79" s="365">
        <v>0</v>
      </c>
      <c r="S79" s="365">
        <v>0</v>
      </c>
      <c r="T79" s="365">
        <v>0</v>
      </c>
      <c r="U79" s="365">
        <v>0</v>
      </c>
      <c r="V79" s="365">
        <v>0</v>
      </c>
      <c r="W79" s="365">
        <v>0</v>
      </c>
      <c r="X79" s="365">
        <v>0</v>
      </c>
      <c r="Y79" s="399">
        <v>0</v>
      </c>
      <c r="Z79" s="328">
        <f t="shared" si="78"/>
        <v>0</v>
      </c>
      <c r="AA79" s="330">
        <f t="shared" si="79"/>
        <v>0</v>
      </c>
      <c r="AB79" s="1054">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1055">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334">
        <f t="shared" si="80"/>
        <v>0</v>
      </c>
      <c r="AE79" s="1338">
        <f t="shared" si="73"/>
        <v>0</v>
      </c>
      <c r="AF79" s="1339">
        <f t="shared" si="74"/>
        <v>0</v>
      </c>
      <c r="AG79" s="1339">
        <f t="shared" si="75"/>
        <v>0</v>
      </c>
      <c r="AH79" s="1280">
        <f t="shared" si="81"/>
        <v>0</v>
      </c>
      <c r="AI79" s="1340">
        <f t="shared" si="82"/>
        <v>0</v>
      </c>
      <c r="AJ79" s="245"/>
      <c r="AK79" s="245"/>
      <c r="AL79" s="245"/>
      <c r="AM79" s="24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6"/>
        <v>0</v>
      </c>
      <c r="N80" s="302">
        <f t="shared" si="77"/>
        <v>0</v>
      </c>
      <c r="O80" s="360">
        <v>0</v>
      </c>
      <c r="P80" s="361">
        <v>0</v>
      </c>
      <c r="Q80" s="361">
        <v>0</v>
      </c>
      <c r="R80" s="361">
        <v>0</v>
      </c>
      <c r="S80" s="361">
        <v>0</v>
      </c>
      <c r="T80" s="361">
        <v>0</v>
      </c>
      <c r="U80" s="361">
        <v>0</v>
      </c>
      <c r="V80" s="361">
        <v>0</v>
      </c>
      <c r="W80" s="361">
        <v>0</v>
      </c>
      <c r="X80" s="361">
        <v>0</v>
      </c>
      <c r="Y80" s="397">
        <v>0</v>
      </c>
      <c r="Z80" s="300">
        <f t="shared" si="78"/>
        <v>0</v>
      </c>
      <c r="AA80" s="302">
        <f t="shared" si="79"/>
        <v>0</v>
      </c>
      <c r="AB80" s="1054">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1055">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334">
        <f t="shared" si="80"/>
        <v>0</v>
      </c>
      <c r="AE80" s="1338">
        <f t="shared" si="73"/>
        <v>0</v>
      </c>
      <c r="AF80" s="1339">
        <f t="shared" si="74"/>
        <v>0</v>
      </c>
      <c r="AG80" s="1339">
        <f t="shared" si="75"/>
        <v>0</v>
      </c>
      <c r="AH80" s="1280">
        <f t="shared" si="81"/>
        <v>0</v>
      </c>
      <c r="AI80" s="1340">
        <f t="shared" si="82"/>
        <v>0</v>
      </c>
      <c r="AJ80" s="245"/>
      <c r="AK80" s="245"/>
      <c r="AL80" s="245"/>
      <c r="AM80" s="245"/>
    </row>
    <row r="81" spans="1:39" x14ac:dyDescent="0.2">
      <c r="A81" s="348">
        <v>2012</v>
      </c>
      <c r="B81" s="362">
        <v>0</v>
      </c>
      <c r="C81" s="363">
        <v>0</v>
      </c>
      <c r="D81" s="363">
        <v>0</v>
      </c>
      <c r="E81" s="363">
        <v>0</v>
      </c>
      <c r="F81" s="363">
        <v>0</v>
      </c>
      <c r="G81" s="363">
        <v>0</v>
      </c>
      <c r="H81" s="363">
        <v>0</v>
      </c>
      <c r="I81" s="363">
        <v>0</v>
      </c>
      <c r="J81" s="363">
        <v>0</v>
      </c>
      <c r="K81" s="363">
        <v>0</v>
      </c>
      <c r="L81" s="398">
        <v>0</v>
      </c>
      <c r="M81" s="314">
        <f t="shared" si="76"/>
        <v>0</v>
      </c>
      <c r="N81" s="316">
        <f t="shared" si="77"/>
        <v>0</v>
      </c>
      <c r="O81" s="362">
        <v>0</v>
      </c>
      <c r="P81" s="363">
        <v>0</v>
      </c>
      <c r="Q81" s="363">
        <v>0</v>
      </c>
      <c r="R81" s="363">
        <v>0</v>
      </c>
      <c r="S81" s="363">
        <v>0</v>
      </c>
      <c r="T81" s="363">
        <v>0</v>
      </c>
      <c r="U81" s="363">
        <v>0</v>
      </c>
      <c r="V81" s="363">
        <v>0</v>
      </c>
      <c r="W81" s="363">
        <v>0</v>
      </c>
      <c r="X81" s="363">
        <v>0</v>
      </c>
      <c r="Y81" s="398">
        <v>0</v>
      </c>
      <c r="Z81" s="314">
        <f t="shared" si="78"/>
        <v>0</v>
      </c>
      <c r="AA81" s="316">
        <f t="shared" si="79"/>
        <v>0</v>
      </c>
      <c r="AB81" s="1054">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1055">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334">
        <f t="shared" si="80"/>
        <v>0</v>
      </c>
      <c r="AE81" s="1338">
        <f t="shared" si="73"/>
        <v>0</v>
      </c>
      <c r="AF81" s="1339">
        <f t="shared" si="74"/>
        <v>0</v>
      </c>
      <c r="AG81" s="1339">
        <f t="shared" si="75"/>
        <v>0</v>
      </c>
      <c r="AH81" s="1280">
        <f t="shared" si="81"/>
        <v>0</v>
      </c>
      <c r="AI81" s="1340">
        <f t="shared" si="82"/>
        <v>0</v>
      </c>
      <c r="AJ81" s="245"/>
      <c r="AK81" s="245"/>
      <c r="AL81" s="245"/>
      <c r="AM81" s="245"/>
    </row>
    <row r="82" spans="1:39" x14ac:dyDescent="0.2">
      <c r="A82" s="348">
        <v>2013</v>
      </c>
      <c r="B82" s="362">
        <v>0</v>
      </c>
      <c r="C82" s="363">
        <v>0</v>
      </c>
      <c r="D82" s="363">
        <v>0</v>
      </c>
      <c r="E82" s="363">
        <v>0</v>
      </c>
      <c r="F82" s="363">
        <v>0</v>
      </c>
      <c r="G82" s="363">
        <v>0</v>
      </c>
      <c r="H82" s="363">
        <v>0</v>
      </c>
      <c r="I82" s="363">
        <v>0</v>
      </c>
      <c r="J82" s="363">
        <v>0</v>
      </c>
      <c r="K82" s="363">
        <v>0</v>
      </c>
      <c r="L82" s="398">
        <v>0</v>
      </c>
      <c r="M82" s="314">
        <f t="shared" si="76"/>
        <v>0</v>
      </c>
      <c r="N82" s="316">
        <f t="shared" si="77"/>
        <v>0</v>
      </c>
      <c r="O82" s="362">
        <v>0</v>
      </c>
      <c r="P82" s="363">
        <v>0</v>
      </c>
      <c r="Q82" s="363">
        <v>0</v>
      </c>
      <c r="R82" s="363">
        <v>0</v>
      </c>
      <c r="S82" s="363">
        <v>0</v>
      </c>
      <c r="T82" s="363">
        <v>0</v>
      </c>
      <c r="U82" s="363">
        <v>0</v>
      </c>
      <c r="V82" s="363">
        <v>0</v>
      </c>
      <c r="W82" s="363">
        <v>0</v>
      </c>
      <c r="X82" s="363">
        <v>0</v>
      </c>
      <c r="Y82" s="398">
        <v>0</v>
      </c>
      <c r="Z82" s="314">
        <f t="shared" si="78"/>
        <v>0</v>
      </c>
      <c r="AA82" s="316">
        <f t="shared" si="79"/>
        <v>0</v>
      </c>
      <c r="AB82" s="1054">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1055">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334">
        <f t="shared" si="80"/>
        <v>0</v>
      </c>
      <c r="AE82" s="1338">
        <f t="shared" si="73"/>
        <v>0</v>
      </c>
      <c r="AF82" s="1339">
        <f t="shared" si="74"/>
        <v>0</v>
      </c>
      <c r="AG82" s="1339">
        <f t="shared" si="75"/>
        <v>0</v>
      </c>
      <c r="AH82" s="1280">
        <f t="shared" si="81"/>
        <v>0</v>
      </c>
      <c r="AI82" s="1340">
        <f t="shared" si="82"/>
        <v>0</v>
      </c>
      <c r="AJ82" s="245"/>
      <c r="AK82" s="245"/>
      <c r="AL82" s="245"/>
      <c r="AM82" s="245"/>
    </row>
    <row r="83" spans="1:39" x14ac:dyDescent="0.2">
      <c r="A83" s="348">
        <v>2014</v>
      </c>
      <c r="B83" s="362">
        <v>0</v>
      </c>
      <c r="C83" s="363">
        <v>0</v>
      </c>
      <c r="D83" s="363">
        <v>0</v>
      </c>
      <c r="E83" s="363">
        <v>0</v>
      </c>
      <c r="F83" s="363">
        <v>0</v>
      </c>
      <c r="G83" s="363">
        <v>0</v>
      </c>
      <c r="H83" s="363">
        <v>0</v>
      </c>
      <c r="I83" s="363">
        <v>0</v>
      </c>
      <c r="J83" s="363">
        <v>0</v>
      </c>
      <c r="K83" s="363">
        <v>0</v>
      </c>
      <c r="L83" s="398">
        <v>0</v>
      </c>
      <c r="M83" s="314">
        <f t="shared" si="76"/>
        <v>0</v>
      </c>
      <c r="N83" s="316">
        <f t="shared" si="77"/>
        <v>0</v>
      </c>
      <c r="O83" s="362">
        <v>0</v>
      </c>
      <c r="P83" s="363">
        <v>0</v>
      </c>
      <c r="Q83" s="363">
        <v>0</v>
      </c>
      <c r="R83" s="363">
        <v>0</v>
      </c>
      <c r="S83" s="363">
        <v>0</v>
      </c>
      <c r="T83" s="363">
        <v>0</v>
      </c>
      <c r="U83" s="363">
        <v>0</v>
      </c>
      <c r="V83" s="363">
        <v>0</v>
      </c>
      <c r="W83" s="363">
        <v>0</v>
      </c>
      <c r="X83" s="363">
        <v>0</v>
      </c>
      <c r="Y83" s="398">
        <v>0</v>
      </c>
      <c r="Z83" s="314">
        <f t="shared" si="78"/>
        <v>0</v>
      </c>
      <c r="AA83" s="316">
        <f t="shared" si="79"/>
        <v>0</v>
      </c>
      <c r="AB83" s="1054">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1055">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334">
        <f t="shared" si="80"/>
        <v>0</v>
      </c>
      <c r="AE83" s="1338">
        <f t="shared" si="73"/>
        <v>0</v>
      </c>
      <c r="AF83" s="1339">
        <f t="shared" si="74"/>
        <v>0</v>
      </c>
      <c r="AG83" s="1339">
        <f t="shared" si="75"/>
        <v>0</v>
      </c>
      <c r="AH83" s="1280">
        <f t="shared" si="81"/>
        <v>0</v>
      </c>
      <c r="AI83" s="1340">
        <f t="shared" si="82"/>
        <v>0</v>
      </c>
      <c r="AJ83" s="245"/>
      <c r="AK83" s="245"/>
      <c r="AL83" s="245"/>
      <c r="AM83" s="245"/>
    </row>
    <row r="84" spans="1:39" ht="13.5" thickBot="1" x14ac:dyDescent="0.25">
      <c r="A84" s="346">
        <v>2015</v>
      </c>
      <c r="B84" s="364">
        <v>0</v>
      </c>
      <c r="C84" s="365">
        <v>0</v>
      </c>
      <c r="D84" s="365">
        <v>0</v>
      </c>
      <c r="E84" s="365">
        <v>0</v>
      </c>
      <c r="F84" s="365">
        <v>0</v>
      </c>
      <c r="G84" s="365">
        <v>0</v>
      </c>
      <c r="H84" s="365">
        <v>0</v>
      </c>
      <c r="I84" s="365">
        <v>0</v>
      </c>
      <c r="J84" s="365">
        <v>0</v>
      </c>
      <c r="K84" s="365">
        <v>0</v>
      </c>
      <c r="L84" s="399">
        <v>0</v>
      </c>
      <c r="M84" s="328">
        <f t="shared" si="76"/>
        <v>0</v>
      </c>
      <c r="N84" s="330">
        <f t="shared" si="77"/>
        <v>0</v>
      </c>
      <c r="O84" s="364">
        <v>0</v>
      </c>
      <c r="P84" s="365">
        <v>0</v>
      </c>
      <c r="Q84" s="365">
        <v>0</v>
      </c>
      <c r="R84" s="365">
        <v>0</v>
      </c>
      <c r="S84" s="365">
        <v>0</v>
      </c>
      <c r="T84" s="365">
        <v>0</v>
      </c>
      <c r="U84" s="365">
        <v>0</v>
      </c>
      <c r="V84" s="365">
        <v>0</v>
      </c>
      <c r="W84" s="365">
        <v>0</v>
      </c>
      <c r="X84" s="365">
        <v>0</v>
      </c>
      <c r="Y84" s="399">
        <v>0</v>
      </c>
      <c r="Z84" s="328">
        <f t="shared" si="78"/>
        <v>0</v>
      </c>
      <c r="AA84" s="330">
        <f t="shared" si="79"/>
        <v>0</v>
      </c>
      <c r="AB84" s="1054">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1055">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334">
        <f t="shared" si="80"/>
        <v>0</v>
      </c>
      <c r="AE84" s="1338">
        <f t="shared" si="73"/>
        <v>0</v>
      </c>
      <c r="AF84" s="1339">
        <f t="shared" si="74"/>
        <v>0</v>
      </c>
      <c r="AG84" s="1339">
        <f t="shared" si="75"/>
        <v>0</v>
      </c>
      <c r="AH84" s="1280">
        <f t="shared" si="81"/>
        <v>0</v>
      </c>
      <c r="AI84" s="1340">
        <f t="shared" si="82"/>
        <v>0</v>
      </c>
      <c r="AJ84" s="245"/>
      <c r="AK84" s="245"/>
      <c r="AL84" s="245"/>
      <c r="AM84" s="245"/>
    </row>
    <row r="85" spans="1:39" x14ac:dyDescent="0.2">
      <c r="A85" s="347">
        <v>2016</v>
      </c>
      <c r="B85" s="360">
        <v>0</v>
      </c>
      <c r="C85" s="361">
        <v>0</v>
      </c>
      <c r="D85" s="361">
        <v>0</v>
      </c>
      <c r="E85" s="361">
        <v>0</v>
      </c>
      <c r="F85" s="361">
        <v>0</v>
      </c>
      <c r="G85" s="361">
        <v>0</v>
      </c>
      <c r="H85" s="361">
        <v>0</v>
      </c>
      <c r="I85" s="361">
        <v>0</v>
      </c>
      <c r="J85" s="361">
        <v>0</v>
      </c>
      <c r="K85" s="361">
        <v>0</v>
      </c>
      <c r="L85" s="397">
        <v>0</v>
      </c>
      <c r="M85" s="300">
        <f t="shared" si="76"/>
        <v>0</v>
      </c>
      <c r="N85" s="302">
        <f t="shared" si="77"/>
        <v>0</v>
      </c>
      <c r="O85" s="360">
        <v>0</v>
      </c>
      <c r="P85" s="361">
        <v>0</v>
      </c>
      <c r="Q85" s="361">
        <v>0</v>
      </c>
      <c r="R85" s="361">
        <v>0</v>
      </c>
      <c r="S85" s="361">
        <v>0</v>
      </c>
      <c r="T85" s="361">
        <v>0</v>
      </c>
      <c r="U85" s="361">
        <v>0</v>
      </c>
      <c r="V85" s="361">
        <v>0</v>
      </c>
      <c r="W85" s="361">
        <v>0</v>
      </c>
      <c r="X85" s="361">
        <v>0</v>
      </c>
      <c r="Y85" s="397">
        <v>0</v>
      </c>
      <c r="Z85" s="300">
        <f t="shared" si="78"/>
        <v>0</v>
      </c>
      <c r="AA85" s="302">
        <f t="shared" si="79"/>
        <v>0</v>
      </c>
      <c r="AB85" s="1054">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1055">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334">
        <f t="shared" si="80"/>
        <v>0</v>
      </c>
      <c r="AE85" s="1338">
        <f t="shared" si="73"/>
        <v>0</v>
      </c>
      <c r="AF85" s="1339">
        <f t="shared" si="74"/>
        <v>0</v>
      </c>
      <c r="AG85" s="1339">
        <f t="shared" si="75"/>
        <v>0</v>
      </c>
      <c r="AH85" s="1280">
        <f t="shared" si="81"/>
        <v>0</v>
      </c>
      <c r="AI85" s="1340">
        <f t="shared" si="82"/>
        <v>0</v>
      </c>
      <c r="AJ85" s="245"/>
      <c r="AK85" s="245"/>
      <c r="AL85" s="245"/>
      <c r="AM85" s="245"/>
    </row>
    <row r="86" spans="1:39" x14ac:dyDescent="0.2">
      <c r="A86" s="348">
        <v>2017</v>
      </c>
      <c r="B86" s="362">
        <v>0</v>
      </c>
      <c r="C86" s="363">
        <v>0</v>
      </c>
      <c r="D86" s="363">
        <v>0</v>
      </c>
      <c r="E86" s="363">
        <v>0</v>
      </c>
      <c r="F86" s="363">
        <v>0</v>
      </c>
      <c r="G86" s="363">
        <v>0</v>
      </c>
      <c r="H86" s="363">
        <v>0</v>
      </c>
      <c r="I86" s="363">
        <v>0</v>
      </c>
      <c r="J86" s="363">
        <v>0</v>
      </c>
      <c r="K86" s="363">
        <v>0</v>
      </c>
      <c r="L86" s="398">
        <v>0</v>
      </c>
      <c r="M86" s="314">
        <f t="shared" si="76"/>
        <v>0</v>
      </c>
      <c r="N86" s="316">
        <f t="shared" si="77"/>
        <v>0</v>
      </c>
      <c r="O86" s="362">
        <v>0</v>
      </c>
      <c r="P86" s="363">
        <v>0</v>
      </c>
      <c r="Q86" s="363">
        <v>0</v>
      </c>
      <c r="R86" s="363">
        <v>0</v>
      </c>
      <c r="S86" s="363">
        <v>0</v>
      </c>
      <c r="T86" s="363">
        <v>0</v>
      </c>
      <c r="U86" s="363">
        <v>0</v>
      </c>
      <c r="V86" s="363">
        <v>0</v>
      </c>
      <c r="W86" s="363">
        <v>0</v>
      </c>
      <c r="X86" s="363">
        <v>0</v>
      </c>
      <c r="Y86" s="398">
        <v>0</v>
      </c>
      <c r="Z86" s="314">
        <f t="shared" si="78"/>
        <v>0</v>
      </c>
      <c r="AA86" s="316">
        <f t="shared" si="79"/>
        <v>0</v>
      </c>
      <c r="AB86" s="1054">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1055">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334">
        <f t="shared" si="80"/>
        <v>0</v>
      </c>
      <c r="AE86" s="1338">
        <f t="shared" si="73"/>
        <v>0</v>
      </c>
      <c r="AF86" s="1339">
        <f t="shared" si="74"/>
        <v>0</v>
      </c>
      <c r="AG86" s="1339">
        <f t="shared" si="75"/>
        <v>0</v>
      </c>
      <c r="AH86" s="1280">
        <f t="shared" si="81"/>
        <v>0</v>
      </c>
      <c r="AI86" s="1340">
        <f t="shared" si="82"/>
        <v>0</v>
      </c>
      <c r="AJ86" s="245"/>
      <c r="AK86" s="245"/>
      <c r="AL86" s="245"/>
      <c r="AM86" s="245"/>
    </row>
    <row r="87" spans="1:39" x14ac:dyDescent="0.2">
      <c r="A87" s="348">
        <v>2018</v>
      </c>
      <c r="B87" s="362">
        <v>0</v>
      </c>
      <c r="C87" s="363">
        <v>0</v>
      </c>
      <c r="D87" s="363">
        <v>0</v>
      </c>
      <c r="E87" s="363">
        <v>0</v>
      </c>
      <c r="F87" s="363">
        <v>0</v>
      </c>
      <c r="G87" s="363">
        <v>0</v>
      </c>
      <c r="H87" s="363">
        <v>0</v>
      </c>
      <c r="I87" s="363">
        <v>0</v>
      </c>
      <c r="J87" s="363">
        <v>0</v>
      </c>
      <c r="K87" s="363">
        <v>0</v>
      </c>
      <c r="L87" s="398">
        <v>0</v>
      </c>
      <c r="M87" s="314">
        <f t="shared" si="76"/>
        <v>0</v>
      </c>
      <c r="N87" s="316">
        <f t="shared" si="77"/>
        <v>0</v>
      </c>
      <c r="O87" s="362">
        <v>0</v>
      </c>
      <c r="P87" s="363">
        <v>0</v>
      </c>
      <c r="Q87" s="363">
        <v>0</v>
      </c>
      <c r="R87" s="363">
        <v>0</v>
      </c>
      <c r="S87" s="363">
        <v>0</v>
      </c>
      <c r="T87" s="363">
        <v>0</v>
      </c>
      <c r="U87" s="363">
        <v>0</v>
      </c>
      <c r="V87" s="363">
        <v>0</v>
      </c>
      <c r="W87" s="363">
        <v>0</v>
      </c>
      <c r="X87" s="363">
        <v>0</v>
      </c>
      <c r="Y87" s="398">
        <v>0</v>
      </c>
      <c r="Z87" s="314">
        <f t="shared" si="78"/>
        <v>0</v>
      </c>
      <c r="AA87" s="316">
        <f t="shared" si="79"/>
        <v>0</v>
      </c>
      <c r="AB87" s="1054">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1055">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334">
        <f t="shared" si="80"/>
        <v>0</v>
      </c>
      <c r="AE87" s="1338">
        <f t="shared" si="73"/>
        <v>0</v>
      </c>
      <c r="AF87" s="1339">
        <f t="shared" si="74"/>
        <v>0</v>
      </c>
      <c r="AG87" s="1339">
        <f t="shared" si="75"/>
        <v>0</v>
      </c>
      <c r="AH87" s="1280">
        <f t="shared" si="81"/>
        <v>0</v>
      </c>
      <c r="AI87" s="1340">
        <f t="shared" si="82"/>
        <v>0</v>
      </c>
      <c r="AJ87" s="245"/>
      <c r="AK87" s="245"/>
      <c r="AL87" s="245"/>
      <c r="AM87" s="245"/>
    </row>
    <row r="88" spans="1:39" x14ac:dyDescent="0.2">
      <c r="A88" s="348">
        <v>2019</v>
      </c>
      <c r="B88" s="362">
        <v>0</v>
      </c>
      <c r="C88" s="363">
        <v>0</v>
      </c>
      <c r="D88" s="363">
        <v>0</v>
      </c>
      <c r="E88" s="363">
        <v>0</v>
      </c>
      <c r="F88" s="363">
        <v>0</v>
      </c>
      <c r="G88" s="363">
        <v>0</v>
      </c>
      <c r="H88" s="363">
        <v>0</v>
      </c>
      <c r="I88" s="363">
        <v>0</v>
      </c>
      <c r="J88" s="363">
        <v>0</v>
      </c>
      <c r="K88" s="363">
        <v>0</v>
      </c>
      <c r="L88" s="398">
        <v>0</v>
      </c>
      <c r="M88" s="314">
        <f t="shared" si="76"/>
        <v>0</v>
      </c>
      <c r="N88" s="316">
        <f t="shared" si="77"/>
        <v>0</v>
      </c>
      <c r="O88" s="362">
        <v>0</v>
      </c>
      <c r="P88" s="363">
        <v>0</v>
      </c>
      <c r="Q88" s="363">
        <v>0</v>
      </c>
      <c r="R88" s="363">
        <v>0</v>
      </c>
      <c r="S88" s="363">
        <v>0</v>
      </c>
      <c r="T88" s="363">
        <v>0</v>
      </c>
      <c r="U88" s="363">
        <v>0</v>
      </c>
      <c r="V88" s="363">
        <v>0</v>
      </c>
      <c r="W88" s="363">
        <v>0</v>
      </c>
      <c r="X88" s="363">
        <v>0</v>
      </c>
      <c r="Y88" s="398">
        <v>0</v>
      </c>
      <c r="Z88" s="314">
        <f t="shared" si="78"/>
        <v>0</v>
      </c>
      <c r="AA88" s="316">
        <f t="shared" si="79"/>
        <v>0</v>
      </c>
      <c r="AB88" s="1054">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1055">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334">
        <f t="shared" si="80"/>
        <v>0</v>
      </c>
      <c r="AE88" s="1338">
        <f t="shared" si="73"/>
        <v>0</v>
      </c>
      <c r="AF88" s="1339">
        <f t="shared" si="74"/>
        <v>0</v>
      </c>
      <c r="AG88" s="1339">
        <f t="shared" si="75"/>
        <v>0</v>
      </c>
      <c r="AH88" s="1280">
        <f t="shared" si="81"/>
        <v>0</v>
      </c>
      <c r="AI88" s="1340">
        <f t="shared" si="82"/>
        <v>0</v>
      </c>
      <c r="AJ88" s="245"/>
      <c r="AK88" s="245"/>
      <c r="AL88" s="245"/>
      <c r="AM88" s="245"/>
    </row>
    <row r="89" spans="1:39" ht="13.5" thickBot="1" x14ac:dyDescent="0.25">
      <c r="A89" s="346">
        <v>2020</v>
      </c>
      <c r="B89" s="364">
        <v>0</v>
      </c>
      <c r="C89" s="365">
        <v>0</v>
      </c>
      <c r="D89" s="365">
        <v>0</v>
      </c>
      <c r="E89" s="365">
        <v>0</v>
      </c>
      <c r="F89" s="365">
        <v>0</v>
      </c>
      <c r="G89" s="365">
        <v>0</v>
      </c>
      <c r="H89" s="365">
        <v>0</v>
      </c>
      <c r="I89" s="365">
        <v>0</v>
      </c>
      <c r="J89" s="365">
        <v>0</v>
      </c>
      <c r="K89" s="365">
        <v>0</v>
      </c>
      <c r="L89" s="399">
        <v>0</v>
      </c>
      <c r="M89" s="328">
        <f t="shared" si="76"/>
        <v>0</v>
      </c>
      <c r="N89" s="330">
        <f t="shared" si="77"/>
        <v>0</v>
      </c>
      <c r="O89" s="364">
        <v>0</v>
      </c>
      <c r="P89" s="365">
        <v>0</v>
      </c>
      <c r="Q89" s="365">
        <v>0</v>
      </c>
      <c r="R89" s="365">
        <v>0</v>
      </c>
      <c r="S89" s="365">
        <v>0</v>
      </c>
      <c r="T89" s="365">
        <v>0</v>
      </c>
      <c r="U89" s="365">
        <v>0</v>
      </c>
      <c r="V89" s="365">
        <v>0</v>
      </c>
      <c r="W89" s="365">
        <v>0</v>
      </c>
      <c r="X89" s="365">
        <v>0</v>
      </c>
      <c r="Y89" s="399">
        <v>0</v>
      </c>
      <c r="Z89" s="328">
        <f t="shared" si="78"/>
        <v>0</v>
      </c>
      <c r="AA89" s="330">
        <f t="shared" si="79"/>
        <v>0</v>
      </c>
      <c r="AB89" s="1054">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1055">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334">
        <f t="shared" si="80"/>
        <v>0</v>
      </c>
      <c r="AE89" s="1338">
        <f t="shared" si="73"/>
        <v>0</v>
      </c>
      <c r="AF89" s="1339">
        <f t="shared" si="74"/>
        <v>0</v>
      </c>
      <c r="AG89" s="1339">
        <f t="shared" si="75"/>
        <v>0</v>
      </c>
      <c r="AH89" s="1280">
        <f t="shared" si="81"/>
        <v>0</v>
      </c>
      <c r="AI89" s="1340">
        <f t="shared" si="82"/>
        <v>0</v>
      </c>
      <c r="AJ89" s="245"/>
      <c r="AK89" s="245"/>
      <c r="AL89" s="245"/>
      <c r="AM89" s="245"/>
    </row>
    <row r="90" spans="1:39" x14ac:dyDescent="0.2">
      <c r="A90" s="347">
        <v>2021</v>
      </c>
      <c r="B90" s="360">
        <v>0</v>
      </c>
      <c r="C90" s="361">
        <v>0</v>
      </c>
      <c r="D90" s="361">
        <v>0</v>
      </c>
      <c r="E90" s="361">
        <v>0</v>
      </c>
      <c r="F90" s="361">
        <v>0</v>
      </c>
      <c r="G90" s="361">
        <v>0</v>
      </c>
      <c r="H90" s="361">
        <v>0</v>
      </c>
      <c r="I90" s="361">
        <v>0</v>
      </c>
      <c r="J90" s="361">
        <v>0</v>
      </c>
      <c r="K90" s="361">
        <v>0</v>
      </c>
      <c r="L90" s="397">
        <v>0</v>
      </c>
      <c r="M90" s="300">
        <f t="shared" si="76"/>
        <v>0</v>
      </c>
      <c r="N90" s="302">
        <f t="shared" si="77"/>
        <v>0</v>
      </c>
      <c r="O90" s="360">
        <v>0</v>
      </c>
      <c r="P90" s="361">
        <v>0</v>
      </c>
      <c r="Q90" s="361">
        <v>0</v>
      </c>
      <c r="R90" s="361">
        <v>0</v>
      </c>
      <c r="S90" s="361">
        <v>0</v>
      </c>
      <c r="T90" s="361">
        <v>0</v>
      </c>
      <c r="U90" s="361">
        <v>0</v>
      </c>
      <c r="V90" s="361">
        <v>0</v>
      </c>
      <c r="W90" s="361">
        <v>0</v>
      </c>
      <c r="X90" s="361">
        <v>0</v>
      </c>
      <c r="Y90" s="397">
        <v>0</v>
      </c>
      <c r="Z90" s="300">
        <f t="shared" si="78"/>
        <v>0</v>
      </c>
      <c r="AA90" s="302">
        <f t="shared" si="79"/>
        <v>0</v>
      </c>
      <c r="AB90" s="1054">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1055">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334">
        <f t="shared" si="80"/>
        <v>0</v>
      </c>
      <c r="AE90" s="1338">
        <f t="shared" si="73"/>
        <v>0</v>
      </c>
      <c r="AF90" s="1339">
        <f t="shared" si="74"/>
        <v>0</v>
      </c>
      <c r="AG90" s="1339">
        <f t="shared" si="75"/>
        <v>0</v>
      </c>
      <c r="AH90" s="1280">
        <f t="shared" si="81"/>
        <v>0</v>
      </c>
      <c r="AI90" s="1340">
        <f t="shared" si="82"/>
        <v>0</v>
      </c>
      <c r="AJ90" s="245"/>
      <c r="AK90" s="245"/>
      <c r="AL90" s="245"/>
      <c r="AM90" s="245"/>
    </row>
    <row r="91" spans="1:39" x14ac:dyDescent="0.2">
      <c r="A91" s="348">
        <v>2022</v>
      </c>
      <c r="B91" s="362">
        <v>1.1923336791622855E-2</v>
      </c>
      <c r="C91" s="363">
        <v>1.1923336791622855E-2</v>
      </c>
      <c r="D91" s="363">
        <v>1.4237439467136102E-2</v>
      </c>
      <c r="E91" s="363">
        <v>1.7192024588807354E-2</v>
      </c>
      <c r="F91" s="363">
        <v>1.7643037865810826E-2</v>
      </c>
      <c r="G91" s="363">
        <v>1.7470886520902208E-2</v>
      </c>
      <c r="H91" s="363">
        <v>1.6976377852700373E-2</v>
      </c>
      <c r="I91" s="363">
        <v>1.6756158251621484E-2</v>
      </c>
      <c r="J91" s="363">
        <v>1.6538782245192254E-2</v>
      </c>
      <c r="K91" s="363">
        <v>1.6338826388590716E-2</v>
      </c>
      <c r="L91" s="398">
        <v>1.6338826388590716E-2</v>
      </c>
      <c r="M91" s="314">
        <f t="shared" si="76"/>
        <v>5.4203965291115411E-3</v>
      </c>
      <c r="N91" s="316">
        <f t="shared" si="77"/>
        <v>4.8550317208005608E-3</v>
      </c>
      <c r="O91" s="362">
        <v>1.1923336791622855E-2</v>
      </c>
      <c r="P91" s="363">
        <v>1.1922838021324007E-2</v>
      </c>
      <c r="Q91" s="363">
        <v>1.5113620490978757E-2</v>
      </c>
      <c r="R91" s="363">
        <v>1.7416726370055202E-2</v>
      </c>
      <c r="S91" s="363">
        <v>1.7635965921698808E-2</v>
      </c>
      <c r="T91" s="363">
        <v>1.7366337617428305E-2</v>
      </c>
      <c r="U91" s="363">
        <v>1.6976377852700373E-2</v>
      </c>
      <c r="V91" s="363">
        <v>1.6597084501231416E-2</v>
      </c>
      <c r="W91" s="363">
        <v>1.640701124333328E-2</v>
      </c>
      <c r="X91" s="363">
        <v>1.645542929995417E-2</v>
      </c>
      <c r="Y91" s="398">
        <v>1.6238720794049248E-2</v>
      </c>
      <c r="Z91" s="314">
        <f t="shared" si="78"/>
        <v>8.1278083083983262E-3</v>
      </c>
      <c r="AA91" s="316">
        <f t="shared" si="79"/>
        <v>7.692641376390477E-3</v>
      </c>
      <c r="AB91" s="1054">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1055">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334">
        <f t="shared" si="80"/>
        <v>0</v>
      </c>
      <c r="AE91" s="1338">
        <f>SUMPRODUCT($B$74:$L$74,B91:L91)</f>
        <v>5.4203965291115411E-3</v>
      </c>
      <c r="AF91" s="1339">
        <f>SUMPRODUCT($O$74:$Y$74,O91:Y91)</f>
        <v>8.1278083083983262E-3</v>
      </c>
      <c r="AG91" s="1339">
        <f>SUM(AE91:AF91)</f>
        <v>1.3548204837509868E-2</v>
      </c>
      <c r="AH91" s="1280">
        <f t="shared" si="81"/>
        <v>0.40008226876704051</v>
      </c>
      <c r="AI91" s="1340">
        <f t="shared" si="82"/>
        <v>0.59991773123295944</v>
      </c>
      <c r="AJ91" s="245"/>
      <c r="AK91" s="603"/>
      <c r="AL91" s="603"/>
      <c r="AM91" s="603"/>
    </row>
    <row r="92" spans="1:39" x14ac:dyDescent="0.2">
      <c r="A92" s="348">
        <v>2023</v>
      </c>
      <c r="B92" s="362">
        <v>3.0045473573670177E-2</v>
      </c>
      <c r="C92" s="363">
        <v>3.0033325682417275E-2</v>
      </c>
      <c r="D92" s="363">
        <v>3.3161750569890659E-2</v>
      </c>
      <c r="E92" s="363">
        <v>4.0044140935067411E-2</v>
      </c>
      <c r="F92" s="363">
        <v>4.0714160549237252E-2</v>
      </c>
      <c r="G92" s="363">
        <v>4.1450264872663879E-2</v>
      </c>
      <c r="H92" s="363">
        <v>4.123417023417153E-2</v>
      </c>
      <c r="I92" s="363">
        <v>4.0903548168757096E-2</v>
      </c>
      <c r="J92" s="363">
        <v>4.0902542485086464E-2</v>
      </c>
      <c r="K92" s="363">
        <v>4.0576806851024154E-2</v>
      </c>
      <c r="L92" s="398">
        <v>4.0576806851024154E-2</v>
      </c>
      <c r="M92" s="314">
        <f t="shared" si="76"/>
        <v>1.3161565863706402E-2</v>
      </c>
      <c r="N92" s="316">
        <f t="shared" si="77"/>
        <v>1.2007209770060163E-2</v>
      </c>
      <c r="O92" s="362">
        <v>3.0045473573670177E-2</v>
      </c>
      <c r="P92" s="363">
        <v>3.0021378394411536E-2</v>
      </c>
      <c r="Q92" s="363">
        <v>3.4220136644240291E-2</v>
      </c>
      <c r="R92" s="363">
        <v>4.05358628237074E-2</v>
      </c>
      <c r="S92" s="363">
        <v>4.1422995883947163E-2</v>
      </c>
      <c r="T92" s="363">
        <v>4.1354885704049098E-2</v>
      </c>
      <c r="U92" s="363">
        <v>4.1667915285108874E-2</v>
      </c>
      <c r="V92" s="363">
        <v>4.1233323281795457E-2</v>
      </c>
      <c r="W92" s="363">
        <v>4.082823782489043E-2</v>
      </c>
      <c r="X92" s="363">
        <v>4.0576806851024154E-2</v>
      </c>
      <c r="Y92" s="398">
        <v>4.0492411313250661E-2</v>
      </c>
      <c r="Z92" s="314">
        <f t="shared" si="78"/>
        <v>1.9839051011494305E-2</v>
      </c>
      <c r="AA92" s="316">
        <f t="shared" si="79"/>
        <v>1.909348593298632E-2</v>
      </c>
      <c r="AB92" s="1054">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1055">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334">
        <f t="shared" si="80"/>
        <v>0</v>
      </c>
      <c r="AE92" s="1338">
        <f t="shared" ref="AE92:AE119" si="83">SUMPRODUCT($B$74:$L$74,B92:L92)</f>
        <v>1.3161565863706402E-2</v>
      </c>
      <c r="AF92" s="1339">
        <f t="shared" ref="AF92:AF119" si="84">SUMPRODUCT($O$74:$Y$74,O92:Y92)</f>
        <v>1.9839051011494305E-2</v>
      </c>
      <c r="AG92" s="1339">
        <f t="shared" ref="AG92:AG119" si="85">SUM(AE92:AF92)</f>
        <v>3.3000616875200707E-2</v>
      </c>
      <c r="AH92" s="1280">
        <f t="shared" si="81"/>
        <v>0.39882787383883878</v>
      </c>
      <c r="AI92" s="1340">
        <f t="shared" si="82"/>
        <v>0.60117212616116122</v>
      </c>
      <c r="AJ92" s="245"/>
      <c r="AK92" s="603"/>
      <c r="AL92" s="603"/>
      <c r="AM92" s="603"/>
    </row>
    <row r="93" spans="1:39" x14ac:dyDescent="0.2">
      <c r="A93" s="348">
        <v>2024</v>
      </c>
      <c r="B93" s="362">
        <v>6.0135202507298105E-2</v>
      </c>
      <c r="C93" s="363">
        <v>5.6759636552195653E-2</v>
      </c>
      <c r="D93" s="363">
        <v>6.179318659528639E-2</v>
      </c>
      <c r="E93" s="363">
        <v>8.2739341567081265E-2</v>
      </c>
      <c r="F93" s="363">
        <v>8.7993779393992527E-2</v>
      </c>
      <c r="G93" s="363">
        <v>8.9218879405633791E-2</v>
      </c>
      <c r="H93" s="363">
        <v>9.0831343580355606E-2</v>
      </c>
      <c r="I93" s="363">
        <v>9.1248002531559444E-2</v>
      </c>
      <c r="J93" s="363">
        <v>9.0761603224973716E-2</v>
      </c>
      <c r="K93" s="363">
        <v>9.0783254411302028E-2</v>
      </c>
      <c r="L93" s="398">
        <v>9.0783254411302028E-2</v>
      </c>
      <c r="M93" s="314">
        <f t="shared" si="76"/>
        <v>2.5846124186804369E-2</v>
      </c>
      <c r="N93" s="316">
        <f t="shared" si="77"/>
        <v>2.3443585146408621E-2</v>
      </c>
      <c r="O93" s="362">
        <v>6.0135202507298105E-2</v>
      </c>
      <c r="P93" s="363">
        <v>5.4617798897903504E-2</v>
      </c>
      <c r="Q93" s="363">
        <v>6.7730013711467682E-2</v>
      </c>
      <c r="R93" s="363">
        <v>8.3985972943851545E-2</v>
      </c>
      <c r="S93" s="363">
        <v>8.8753877594302533E-2</v>
      </c>
      <c r="T93" s="363">
        <v>9.0467153408797976E-2</v>
      </c>
      <c r="U93" s="363">
        <v>9.0831343580355606E-2</v>
      </c>
      <c r="V93" s="363">
        <v>9.1327849643731238E-2</v>
      </c>
      <c r="W93" s="363">
        <v>9.0783254411302028E-2</v>
      </c>
      <c r="X93" s="363">
        <v>9.0783254411302028E-2</v>
      </c>
      <c r="Y93" s="398">
        <v>9.0454300893399564E-2</v>
      </c>
      <c r="Z93" s="314">
        <f t="shared" si="78"/>
        <v>3.8888122624143817E-2</v>
      </c>
      <c r="AA93" s="316">
        <f t="shared" si="79"/>
        <v>3.6964526281154014E-2</v>
      </c>
      <c r="AB93" s="1054">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1055">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334">
        <f t="shared" si="80"/>
        <v>0</v>
      </c>
      <c r="AE93" s="1338">
        <f t="shared" si="83"/>
        <v>2.5846124186804369E-2</v>
      </c>
      <c r="AF93" s="1339">
        <f t="shared" si="84"/>
        <v>3.8888122624143817E-2</v>
      </c>
      <c r="AG93" s="1339">
        <f t="shared" si="85"/>
        <v>6.4734246810948193E-2</v>
      </c>
      <c r="AH93" s="1280">
        <f t="shared" si="81"/>
        <v>0.39926507930626198</v>
      </c>
      <c r="AI93" s="1340">
        <f t="shared" si="82"/>
        <v>0.60073492069373791</v>
      </c>
      <c r="AJ93" s="245"/>
      <c r="AK93" s="603"/>
      <c r="AL93" s="603"/>
      <c r="AM93" s="603"/>
    </row>
    <row r="94" spans="1:39" ht="13.5" thickBot="1" x14ac:dyDescent="0.25">
      <c r="A94" s="346">
        <v>2025</v>
      </c>
      <c r="B94" s="364">
        <v>4.6989237482330033E-2</v>
      </c>
      <c r="C94" s="365">
        <v>4.640582256929638E-2</v>
      </c>
      <c r="D94" s="365">
        <v>9.8892192302125786E-2</v>
      </c>
      <c r="E94" s="365">
        <v>0.14447186979420776</v>
      </c>
      <c r="F94" s="365">
        <v>0.15328524420497366</v>
      </c>
      <c r="G94" s="365">
        <v>0.16169105079621043</v>
      </c>
      <c r="H94" s="365">
        <v>0.16568089559562138</v>
      </c>
      <c r="I94" s="365">
        <v>0.1667683278949223</v>
      </c>
      <c r="J94" s="365">
        <v>0.16726394418526258</v>
      </c>
      <c r="K94" s="365">
        <v>0.16750129585114876</v>
      </c>
      <c r="L94" s="399">
        <v>0.16750129585114876</v>
      </c>
      <c r="M94" s="328">
        <f t="shared" si="76"/>
        <v>3.2212257946830192E-2</v>
      </c>
      <c r="N94" s="330">
        <f t="shared" si="77"/>
        <v>2.347722931509523E-2</v>
      </c>
      <c r="O94" s="364">
        <v>4.6989237482330033E-2</v>
      </c>
      <c r="P94" s="365">
        <v>4.6959728255474682E-2</v>
      </c>
      <c r="Q94" s="365">
        <v>0.11054493021235379</v>
      </c>
      <c r="R94" s="365">
        <v>0.14907705341816177</v>
      </c>
      <c r="S94" s="365">
        <v>0.15700284872304021</v>
      </c>
      <c r="T94" s="365">
        <v>0.16420353735332202</v>
      </c>
      <c r="U94" s="365">
        <v>0.16568089559562138</v>
      </c>
      <c r="V94" s="365">
        <v>0.1667683278949223</v>
      </c>
      <c r="W94" s="365">
        <v>0.16659875837117188</v>
      </c>
      <c r="X94" s="365">
        <v>0.16749598582765565</v>
      </c>
      <c r="Y94" s="399">
        <v>0.1673788702076143</v>
      </c>
      <c r="Z94" s="328">
        <f t="shared" si="78"/>
        <v>4.8106368161843903E-2</v>
      </c>
      <c r="AA94" s="330">
        <f t="shared" si="79"/>
        <v>3.6080272320763732E-2</v>
      </c>
      <c r="AB94" s="1054">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1055">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334">
        <f t="shared" si="80"/>
        <v>0</v>
      </c>
      <c r="AE94" s="1338">
        <f t="shared" si="83"/>
        <v>3.2212257946830192E-2</v>
      </c>
      <c r="AF94" s="1339">
        <f t="shared" si="84"/>
        <v>4.8106368161843903E-2</v>
      </c>
      <c r="AG94" s="1339">
        <f t="shared" si="85"/>
        <v>8.0318626108674102E-2</v>
      </c>
      <c r="AH94" s="1280">
        <f t="shared" si="81"/>
        <v>0.40105588837196748</v>
      </c>
      <c r="AI94" s="1340">
        <f t="shared" si="82"/>
        <v>0.59894411162803241</v>
      </c>
      <c r="AJ94" s="245"/>
      <c r="AK94" s="603"/>
      <c r="AL94" s="603"/>
      <c r="AM94" s="603"/>
    </row>
    <row r="95" spans="1:39" x14ac:dyDescent="0.2">
      <c r="A95" s="347">
        <v>2026</v>
      </c>
      <c r="B95" s="360">
        <v>5.3576907039906467E-2</v>
      </c>
      <c r="C95" s="361">
        <v>5.6492877989765648E-2</v>
      </c>
      <c r="D95" s="361">
        <v>0.15784060754604212</v>
      </c>
      <c r="E95" s="361">
        <v>0.21780234214247321</v>
      </c>
      <c r="F95" s="361">
        <v>0.23443769686920199</v>
      </c>
      <c r="G95" s="361">
        <v>0.23800560384529876</v>
      </c>
      <c r="H95" s="361">
        <v>0.24464103843012369</v>
      </c>
      <c r="I95" s="361">
        <v>0.2456236783488919</v>
      </c>
      <c r="J95" s="361">
        <v>0.2456775796498771</v>
      </c>
      <c r="K95" s="361">
        <v>0.2445339063953674</v>
      </c>
      <c r="L95" s="397">
        <v>0.2445339063953674</v>
      </c>
      <c r="M95" s="300">
        <f t="shared" si="76"/>
        <v>4.5991991741671283E-2</v>
      </c>
      <c r="N95" s="302">
        <f t="shared" si="77"/>
        <v>3.1088232787759199E-2</v>
      </c>
      <c r="O95" s="360">
        <v>5.3576907039906467E-2</v>
      </c>
      <c r="P95" s="361">
        <v>5.6295426344877664E-2</v>
      </c>
      <c r="Q95" s="361">
        <v>0.17479129700832199</v>
      </c>
      <c r="R95" s="361">
        <v>0.21790613441306991</v>
      </c>
      <c r="S95" s="361">
        <v>0.23635028182341331</v>
      </c>
      <c r="T95" s="361">
        <v>0.24137889727394263</v>
      </c>
      <c r="U95" s="361">
        <v>0.24464103843012369</v>
      </c>
      <c r="V95" s="361">
        <v>0.24435611903919441</v>
      </c>
      <c r="W95" s="361">
        <v>0.24460816490829335</v>
      </c>
      <c r="X95" s="361">
        <v>0.2443814146801275</v>
      </c>
      <c r="Y95" s="397">
        <v>0.24228031615827969</v>
      </c>
      <c r="Z95" s="300">
        <f t="shared" si="78"/>
        <v>6.6549221513579032E-2</v>
      </c>
      <c r="AA95" s="302">
        <f t="shared" si="79"/>
        <v>4.6115568931836812E-2</v>
      </c>
      <c r="AB95" s="1054">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1055">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334">
        <f t="shared" si="80"/>
        <v>0</v>
      </c>
      <c r="AE95" s="1338">
        <f t="shared" si="83"/>
        <v>4.5991991741671283E-2</v>
      </c>
      <c r="AF95" s="1339">
        <f t="shared" si="84"/>
        <v>6.6549221513579032E-2</v>
      </c>
      <c r="AG95" s="1339">
        <f t="shared" si="85"/>
        <v>0.11254121325525032</v>
      </c>
      <c r="AH95" s="1280">
        <f t="shared" si="81"/>
        <v>0.40866799291881317</v>
      </c>
      <c r="AI95" s="1340">
        <f t="shared" si="82"/>
        <v>0.59133200708118672</v>
      </c>
      <c r="AJ95" s="245"/>
      <c r="AK95" s="603"/>
      <c r="AL95" s="603"/>
      <c r="AM95" s="603"/>
    </row>
    <row r="96" spans="1:39" x14ac:dyDescent="0.2">
      <c r="A96" s="348">
        <v>2027</v>
      </c>
      <c r="B96" s="362">
        <v>2.7670525158214849E-2</v>
      </c>
      <c r="C96" s="363">
        <v>8.0502207518681312E-2</v>
      </c>
      <c r="D96" s="363">
        <v>0.21942590572251305</v>
      </c>
      <c r="E96" s="363">
        <v>0.26922767250562052</v>
      </c>
      <c r="F96" s="363">
        <v>0.28146814995018399</v>
      </c>
      <c r="G96" s="363">
        <v>0.29058233989251919</v>
      </c>
      <c r="H96" s="363">
        <v>0.29568874774804454</v>
      </c>
      <c r="I96" s="363">
        <v>0.29409475624137305</v>
      </c>
      <c r="J96" s="363">
        <v>0.29395503486211605</v>
      </c>
      <c r="K96" s="363">
        <v>0.29116911662223277</v>
      </c>
      <c r="L96" s="398">
        <v>0.29116911662223277</v>
      </c>
      <c r="M96" s="314">
        <f t="shared" si="76"/>
        <v>5.7436173471878439E-2</v>
      </c>
      <c r="N96" s="316">
        <f t="shared" si="77"/>
        <v>3.4735919925730094E-2</v>
      </c>
      <c r="O96" s="362">
        <v>2.7670525158214849E-2</v>
      </c>
      <c r="P96" s="363">
        <v>8.9180223785288795E-2</v>
      </c>
      <c r="Q96" s="363">
        <v>0.23440649691149767</v>
      </c>
      <c r="R96" s="363">
        <v>0.2761243598544979</v>
      </c>
      <c r="S96" s="363">
        <v>0.28940261630142117</v>
      </c>
      <c r="T96" s="363">
        <v>0.2919680826522304</v>
      </c>
      <c r="U96" s="363">
        <v>0.29566600077998617</v>
      </c>
      <c r="V96" s="363">
        <v>0.29411392316992063</v>
      </c>
      <c r="W96" s="363">
        <v>0.29219279889484256</v>
      </c>
      <c r="X96" s="363">
        <v>0.2903023535841831</v>
      </c>
      <c r="Y96" s="398">
        <v>0.28377238470429383</v>
      </c>
      <c r="Z96" s="314">
        <f t="shared" si="78"/>
        <v>8.4603391329248143E-2</v>
      </c>
      <c r="AA96" s="316">
        <f t="shared" si="79"/>
        <v>5.2398744852617959E-2</v>
      </c>
      <c r="AB96" s="1054">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1055">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334">
        <f t="shared" si="80"/>
        <v>0</v>
      </c>
      <c r="AE96" s="1338">
        <f t="shared" si="83"/>
        <v>5.7436173471878439E-2</v>
      </c>
      <c r="AF96" s="1339">
        <f t="shared" si="84"/>
        <v>8.4603391329248143E-2</v>
      </c>
      <c r="AG96" s="1339">
        <f t="shared" si="85"/>
        <v>0.14203956480112659</v>
      </c>
      <c r="AH96" s="1280">
        <f t="shared" si="81"/>
        <v>0.40436742785220703</v>
      </c>
      <c r="AI96" s="1340">
        <f t="shared" si="82"/>
        <v>0.59563257214779297</v>
      </c>
      <c r="AJ96" s="245"/>
      <c r="AK96" s="603"/>
      <c r="AL96" s="603"/>
      <c r="AM96" s="603"/>
    </row>
    <row r="97" spans="1:39" x14ac:dyDescent="0.2">
      <c r="A97" s="348">
        <v>2028</v>
      </c>
      <c r="B97" s="362">
        <v>1.906093417050304E-2</v>
      </c>
      <c r="C97" s="363">
        <v>0.11001742740888597</v>
      </c>
      <c r="D97" s="363">
        <v>0.24778713197772997</v>
      </c>
      <c r="E97" s="363">
        <v>0.29839163601328478</v>
      </c>
      <c r="F97" s="363">
        <v>0.30962014400670251</v>
      </c>
      <c r="G97" s="363">
        <v>0.31550200021345332</v>
      </c>
      <c r="H97" s="363">
        <v>0.31750621295936193</v>
      </c>
      <c r="I97" s="363">
        <v>0.31677900043800455</v>
      </c>
      <c r="J97" s="363">
        <v>0.31304795160015075</v>
      </c>
      <c r="K97" s="363">
        <v>0.3051221301957191</v>
      </c>
      <c r="L97" s="398">
        <v>0.3051221301957191</v>
      </c>
      <c r="M97" s="314">
        <f t="shared" si="76"/>
        <v>6.6064442969202539E-2</v>
      </c>
      <c r="N97" s="316">
        <f t="shared" si="77"/>
        <v>3.970499824897393E-2</v>
      </c>
      <c r="O97" s="362">
        <v>1.906093417050304E-2</v>
      </c>
      <c r="P97" s="363">
        <v>0.11788096989849876</v>
      </c>
      <c r="Q97" s="363">
        <v>0.25953719762230537</v>
      </c>
      <c r="R97" s="363">
        <v>0.30122658134353592</v>
      </c>
      <c r="S97" s="363">
        <v>0.31438830632472031</v>
      </c>
      <c r="T97" s="363">
        <v>0.31822105014008434</v>
      </c>
      <c r="U97" s="363">
        <v>0.316980468085171</v>
      </c>
      <c r="V97" s="363">
        <v>0.31413223978679938</v>
      </c>
      <c r="W97" s="363">
        <v>0.30854035232964866</v>
      </c>
      <c r="X97" s="363">
        <v>0.30395706903127467</v>
      </c>
      <c r="Y97" s="398">
        <v>0.29406855494738088</v>
      </c>
      <c r="Z97" s="314">
        <f t="shared" si="78"/>
        <v>9.6568174251187508E-2</v>
      </c>
      <c r="AA97" s="316">
        <f t="shared" si="79"/>
        <v>5.9510877227756553E-2</v>
      </c>
      <c r="AB97" s="1054">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1055">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334">
        <f t="shared" si="80"/>
        <v>0</v>
      </c>
      <c r="AE97" s="1338">
        <f t="shared" si="83"/>
        <v>6.6064442969202539E-2</v>
      </c>
      <c r="AF97" s="1339">
        <f t="shared" si="84"/>
        <v>9.6568174251187508E-2</v>
      </c>
      <c r="AG97" s="1339">
        <f t="shared" si="85"/>
        <v>0.16263261722039005</v>
      </c>
      <c r="AH97" s="1280">
        <f t="shared" si="81"/>
        <v>0.40621890060144539</v>
      </c>
      <c r="AI97" s="1340">
        <f t="shared" si="82"/>
        <v>0.59378109939855461</v>
      </c>
      <c r="AJ97" s="245"/>
      <c r="AK97" s="603"/>
      <c r="AL97" s="603"/>
      <c r="AM97" s="603"/>
    </row>
    <row r="98" spans="1:39" x14ac:dyDescent="0.2">
      <c r="A98" s="348">
        <v>2029</v>
      </c>
      <c r="B98" s="362">
        <v>4.4940383363715319E-3</v>
      </c>
      <c r="C98" s="363">
        <v>0.126100468942344</v>
      </c>
      <c r="D98" s="363">
        <v>0.2618466929999374</v>
      </c>
      <c r="E98" s="363">
        <v>0.31028983091000673</v>
      </c>
      <c r="F98" s="363">
        <v>0.32087958434395414</v>
      </c>
      <c r="G98" s="363">
        <v>0.3241935813865332</v>
      </c>
      <c r="H98" s="363">
        <v>0.32374568873737308</v>
      </c>
      <c r="I98" s="363">
        <v>0.31768691880745398</v>
      </c>
      <c r="J98" s="363">
        <v>0.30885379546365072</v>
      </c>
      <c r="K98" s="363">
        <v>0.29834372615017557</v>
      </c>
      <c r="L98" s="398">
        <v>0.29834372615017557</v>
      </c>
      <c r="M98" s="314">
        <f t="shared" si="76"/>
        <v>6.9500833662660591E-2</v>
      </c>
      <c r="N98" s="316">
        <f t="shared" si="77"/>
        <v>4.0591848747422339E-2</v>
      </c>
      <c r="O98" s="362">
        <v>4.4940383363715319E-3</v>
      </c>
      <c r="P98" s="363">
        <v>0.14248220607021933</v>
      </c>
      <c r="Q98" s="363">
        <v>0.27663436939888414</v>
      </c>
      <c r="R98" s="363">
        <v>0.31672574812590532</v>
      </c>
      <c r="S98" s="363">
        <v>0.32338942158887024</v>
      </c>
      <c r="T98" s="363">
        <v>0.32438646120632308</v>
      </c>
      <c r="U98" s="363">
        <v>0.3216271282122608</v>
      </c>
      <c r="V98" s="363">
        <v>0.31174062239058492</v>
      </c>
      <c r="W98" s="363">
        <v>0.30196693243649431</v>
      </c>
      <c r="X98" s="363">
        <v>0.29646973581637437</v>
      </c>
      <c r="Y98" s="398">
        <v>0.28681376963285882</v>
      </c>
      <c r="Z98" s="314">
        <f t="shared" si="78"/>
        <v>0.10412484497395941</v>
      </c>
      <c r="AA98" s="316">
        <f t="shared" si="79"/>
        <v>6.3049343721177098E-2</v>
      </c>
      <c r="AB98" s="1054">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1055">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334">
        <f t="shared" si="80"/>
        <v>0</v>
      </c>
      <c r="AE98" s="1338">
        <f t="shared" si="83"/>
        <v>6.9500833662660591E-2</v>
      </c>
      <c r="AF98" s="1339">
        <f t="shared" si="84"/>
        <v>0.10412484497395941</v>
      </c>
      <c r="AG98" s="1339">
        <f t="shared" si="85"/>
        <v>0.17362567863661998</v>
      </c>
      <c r="AH98" s="1280">
        <f t="shared" si="81"/>
        <v>0.40029121388270233</v>
      </c>
      <c r="AI98" s="1340">
        <f t="shared" si="82"/>
        <v>0.59970878611729772</v>
      </c>
      <c r="AJ98" s="245"/>
      <c r="AK98" s="603"/>
      <c r="AL98" s="603"/>
      <c r="AM98" s="603"/>
    </row>
    <row r="99" spans="1:39" ht="13.5" thickBot="1" x14ac:dyDescent="0.25">
      <c r="A99" s="346">
        <v>2030</v>
      </c>
      <c r="B99" s="364">
        <v>0</v>
      </c>
      <c r="C99" s="365">
        <v>0.14403447886008452</v>
      </c>
      <c r="D99" s="365">
        <v>0.27513991080823924</v>
      </c>
      <c r="E99" s="365">
        <v>0.3201125670426942</v>
      </c>
      <c r="F99" s="365">
        <v>0.32412318176633265</v>
      </c>
      <c r="G99" s="365">
        <v>0.32899865177034576</v>
      </c>
      <c r="H99" s="365">
        <v>0.3149630329830308</v>
      </c>
      <c r="I99" s="365">
        <v>0.30754453495063699</v>
      </c>
      <c r="J99" s="365">
        <v>0.29700151331733193</v>
      </c>
      <c r="K99" s="365">
        <v>0.28619194518060032</v>
      </c>
      <c r="L99" s="399">
        <v>0.28619194518060032</v>
      </c>
      <c r="M99" s="328">
        <f t="shared" si="76"/>
        <v>7.3390372370799178E-2</v>
      </c>
      <c r="N99" s="330">
        <f t="shared" si="77"/>
        <v>4.3225681271069911E-2</v>
      </c>
      <c r="O99" s="364">
        <v>0</v>
      </c>
      <c r="P99" s="365">
        <v>0.15230335840015838</v>
      </c>
      <c r="Q99" s="365">
        <v>0.28089766579179615</v>
      </c>
      <c r="R99" s="365">
        <v>0.31662741203352091</v>
      </c>
      <c r="S99" s="365">
        <v>0.32710678408044819</v>
      </c>
      <c r="T99" s="365">
        <v>0.32164657379208472</v>
      </c>
      <c r="U99" s="365">
        <v>0.31029282630037103</v>
      </c>
      <c r="V99" s="365">
        <v>0.29905503467860761</v>
      </c>
      <c r="W99" s="365">
        <v>0.29041471941238362</v>
      </c>
      <c r="X99" s="365">
        <v>0.28619194518060032</v>
      </c>
      <c r="Y99" s="399">
        <v>0.27810767668768982</v>
      </c>
      <c r="Z99" s="328">
        <f t="shared" si="78"/>
        <v>0.10609912908846032</v>
      </c>
      <c r="AA99" s="330">
        <f t="shared" si="79"/>
        <v>6.4441220044364464E-2</v>
      </c>
      <c r="AB99" s="1054">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1055">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334">
        <f t="shared" si="80"/>
        <v>0</v>
      </c>
      <c r="AE99" s="1338">
        <f t="shared" si="83"/>
        <v>7.3390372370799178E-2</v>
      </c>
      <c r="AF99" s="1339">
        <f t="shared" si="84"/>
        <v>0.10609912908846032</v>
      </c>
      <c r="AG99" s="1339">
        <f t="shared" si="85"/>
        <v>0.17948950145925952</v>
      </c>
      <c r="AH99" s="1280">
        <f t="shared" si="81"/>
        <v>0.40888392788509309</v>
      </c>
      <c r="AI99" s="1340">
        <f t="shared" si="82"/>
        <v>0.5911160721149068</v>
      </c>
      <c r="AJ99" s="245"/>
      <c r="AK99" s="603"/>
      <c r="AL99" s="603"/>
      <c r="AM99" s="603"/>
    </row>
    <row r="100" spans="1:39" x14ac:dyDescent="0.2">
      <c r="A100" s="347">
        <v>2031</v>
      </c>
      <c r="B100" s="360">
        <v>0</v>
      </c>
      <c r="C100" s="361">
        <v>0.14238082922928033</v>
      </c>
      <c r="D100" s="361">
        <v>0.27215516699078812</v>
      </c>
      <c r="E100" s="361">
        <v>0.32161807995779229</v>
      </c>
      <c r="F100" s="361">
        <v>0.32721748590122729</v>
      </c>
      <c r="G100" s="361">
        <v>0.32649164382463802</v>
      </c>
      <c r="H100" s="361">
        <v>0.30748599019333184</v>
      </c>
      <c r="I100" s="361">
        <v>0.29949722623260588</v>
      </c>
      <c r="J100" s="361">
        <v>0.29087368556318194</v>
      </c>
      <c r="K100" s="361">
        <v>0.28199936974112644</v>
      </c>
      <c r="L100" s="397">
        <v>0.28199936974112644</v>
      </c>
      <c r="M100" s="300">
        <f t="shared" si="76"/>
        <v>7.288162486433207E-2</v>
      </c>
      <c r="N100" s="302">
        <f t="shared" si="77"/>
        <v>4.2861808278812023E-2</v>
      </c>
      <c r="O100" s="360">
        <v>0</v>
      </c>
      <c r="P100" s="361">
        <v>0.16185061576276874</v>
      </c>
      <c r="Q100" s="361">
        <v>0.29072155128169952</v>
      </c>
      <c r="R100" s="361">
        <v>0.31783117943179845</v>
      </c>
      <c r="S100" s="361">
        <v>0.32547717012731292</v>
      </c>
      <c r="T100" s="361">
        <v>0.31505837580028939</v>
      </c>
      <c r="U100" s="361">
        <v>0.30359442477657866</v>
      </c>
      <c r="V100" s="361">
        <v>0.29305702481422358</v>
      </c>
      <c r="W100" s="361">
        <v>0.28410811972105077</v>
      </c>
      <c r="X100" s="361">
        <v>0.27993906837750027</v>
      </c>
      <c r="Y100" s="397">
        <v>0.27417706158371979</v>
      </c>
      <c r="Z100" s="300">
        <f t="shared" si="78"/>
        <v>0.10918972631066319</v>
      </c>
      <c r="AA100" s="302">
        <f t="shared" si="79"/>
        <v>6.7290726523831029E-2</v>
      </c>
      <c r="AB100" s="1054">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1055">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334">
        <f t="shared" si="80"/>
        <v>0</v>
      </c>
      <c r="AE100" s="1338">
        <f t="shared" si="83"/>
        <v>7.288162486433207E-2</v>
      </c>
      <c r="AF100" s="1339">
        <f t="shared" si="84"/>
        <v>0.10918972631066319</v>
      </c>
      <c r="AG100" s="1339">
        <f t="shared" si="85"/>
        <v>0.18207135117499526</v>
      </c>
      <c r="AH100" s="1280">
        <f t="shared" si="81"/>
        <v>0.40029155819403428</v>
      </c>
      <c r="AI100" s="1340">
        <f t="shared" si="82"/>
        <v>0.59970844180596572</v>
      </c>
      <c r="AJ100" s="245"/>
      <c r="AK100" s="603"/>
      <c r="AL100" s="603"/>
      <c r="AM100" s="603"/>
    </row>
    <row r="101" spans="1:39" x14ac:dyDescent="0.2">
      <c r="A101" s="348">
        <v>2032</v>
      </c>
      <c r="B101" s="362">
        <v>0</v>
      </c>
      <c r="C101" s="363">
        <v>0.15574190975837895</v>
      </c>
      <c r="D101" s="363">
        <v>0.27269620027423702</v>
      </c>
      <c r="E101" s="363">
        <v>0.32210024993103947</v>
      </c>
      <c r="F101" s="363">
        <v>0.32492991082395406</v>
      </c>
      <c r="G101" s="363">
        <v>0.31990197068355536</v>
      </c>
      <c r="H101" s="363">
        <v>0.29914725094887185</v>
      </c>
      <c r="I101" s="363">
        <v>0.29032177425090611</v>
      </c>
      <c r="J101" s="363">
        <v>0.28365573464952121</v>
      </c>
      <c r="K101" s="363">
        <v>0.27511327251427664</v>
      </c>
      <c r="L101" s="398">
        <v>0.27511327251427664</v>
      </c>
      <c r="M101" s="314">
        <f t="shared" si="76"/>
        <v>7.4762547790381134E-2</v>
      </c>
      <c r="N101" s="316">
        <f t="shared" si="77"/>
        <v>4.4744087102994705E-2</v>
      </c>
      <c r="O101" s="362">
        <v>0</v>
      </c>
      <c r="P101" s="363">
        <v>0.1642427702534193</v>
      </c>
      <c r="Q101" s="363">
        <v>0.29129913108955263</v>
      </c>
      <c r="R101" s="363">
        <v>0.32292234147569387</v>
      </c>
      <c r="S101" s="363">
        <v>0.32046971534048391</v>
      </c>
      <c r="T101" s="363">
        <v>0.30948218800899852</v>
      </c>
      <c r="U101" s="363">
        <v>0.2947505212302779</v>
      </c>
      <c r="V101" s="363">
        <v>0.28585684843165571</v>
      </c>
      <c r="W101" s="363">
        <v>0.277082310516371</v>
      </c>
      <c r="X101" s="363">
        <v>0.27511327251427664</v>
      </c>
      <c r="Y101" s="398">
        <v>0.26979666046120615</v>
      </c>
      <c r="Z101" s="314">
        <f t="shared" si="78"/>
        <v>0.10968937824847536</v>
      </c>
      <c r="AA101" s="316">
        <f t="shared" si="79"/>
        <v>6.7936937565546585E-2</v>
      </c>
      <c r="AB101" s="1054">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1055">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334">
        <f t="shared" si="80"/>
        <v>0</v>
      </c>
      <c r="AE101" s="1338">
        <f t="shared" si="83"/>
        <v>7.4762547790381134E-2</v>
      </c>
      <c r="AF101" s="1339">
        <f t="shared" si="84"/>
        <v>0.10968937824847536</v>
      </c>
      <c r="AG101" s="1339">
        <f t="shared" si="85"/>
        <v>0.18445192603885649</v>
      </c>
      <c r="AH101" s="1280">
        <f t="shared" si="81"/>
        <v>0.40532267347878881</v>
      </c>
      <c r="AI101" s="1340">
        <f t="shared" si="82"/>
        <v>0.59467732652121119</v>
      </c>
      <c r="AJ101" s="245"/>
      <c r="AK101" s="603"/>
      <c r="AL101" s="603"/>
      <c r="AM101" s="603"/>
    </row>
    <row r="102" spans="1:39" x14ac:dyDescent="0.2">
      <c r="A102" s="348">
        <v>2033</v>
      </c>
      <c r="B102" s="362">
        <v>0</v>
      </c>
      <c r="C102" s="363">
        <v>0.15587048090676844</v>
      </c>
      <c r="D102" s="363">
        <v>0.2729713993987416</v>
      </c>
      <c r="E102" s="363">
        <v>0.31798884481926448</v>
      </c>
      <c r="F102" s="363">
        <v>0.31732834014405026</v>
      </c>
      <c r="G102" s="363">
        <v>0.31206053984522514</v>
      </c>
      <c r="H102" s="363">
        <v>0.28947340702620922</v>
      </c>
      <c r="I102" s="363">
        <v>0.28271670688087103</v>
      </c>
      <c r="J102" s="363">
        <v>0.27625781741809052</v>
      </c>
      <c r="K102" s="363">
        <v>0.27027488101700137</v>
      </c>
      <c r="L102" s="398">
        <v>0.27027488101700137</v>
      </c>
      <c r="M102" s="314">
        <f t="shared" si="76"/>
        <v>7.4295219954373937E-2</v>
      </c>
      <c r="N102" s="316">
        <f t="shared" si="77"/>
        <v>4.4622087772171158E-2</v>
      </c>
      <c r="O102" s="362">
        <v>0</v>
      </c>
      <c r="P102" s="363">
        <v>0.1643828745833123</v>
      </c>
      <c r="Q102" s="363">
        <v>0.28736403006917038</v>
      </c>
      <c r="R102" s="363">
        <v>0.31663037925093196</v>
      </c>
      <c r="S102" s="363">
        <v>0.31246001342690793</v>
      </c>
      <c r="T102" s="363">
        <v>0.30084675148808526</v>
      </c>
      <c r="U102" s="363">
        <v>0.28717694963070572</v>
      </c>
      <c r="V102" s="363">
        <v>0.27834948528029074</v>
      </c>
      <c r="W102" s="363">
        <v>0.27208638577693117</v>
      </c>
      <c r="X102" s="363">
        <v>0.27027488101700137</v>
      </c>
      <c r="Y102" s="398">
        <v>0.26560558238391274</v>
      </c>
      <c r="Z102" s="314">
        <f t="shared" si="78"/>
        <v>0.10846780450627569</v>
      </c>
      <c r="AA102" s="316">
        <f t="shared" si="79"/>
        <v>6.7519105780963026E-2</v>
      </c>
      <c r="AB102" s="1054">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1055">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334">
        <f>AB102*AH102+AC102*AI102</f>
        <v>0</v>
      </c>
      <c r="AE102" s="1338">
        <f t="shared" si="83"/>
        <v>7.4295219954373937E-2</v>
      </c>
      <c r="AF102" s="1339">
        <f t="shared" si="84"/>
        <v>0.10846780450627569</v>
      </c>
      <c r="AG102" s="1339">
        <f t="shared" si="85"/>
        <v>0.18276302446064963</v>
      </c>
      <c r="AH102" s="1280">
        <f t="shared" si="81"/>
        <v>0.40651121950747926</v>
      </c>
      <c r="AI102" s="1340">
        <f t="shared" si="82"/>
        <v>0.59348878049252074</v>
      </c>
      <c r="AJ102" s="245"/>
      <c r="AK102" s="603"/>
      <c r="AL102" s="603"/>
      <c r="AM102" s="603"/>
    </row>
    <row r="103" spans="1:39" x14ac:dyDescent="0.2">
      <c r="A103" s="348">
        <v>2034</v>
      </c>
      <c r="B103" s="362">
        <v>0</v>
      </c>
      <c r="C103" s="363">
        <v>0.15594333614186004</v>
      </c>
      <c r="D103" s="363">
        <v>0.27315035962552098</v>
      </c>
      <c r="E103" s="363">
        <v>0.31539072932729084</v>
      </c>
      <c r="F103" s="363">
        <v>0.3096333425452375</v>
      </c>
      <c r="G103" s="363">
        <v>0.30158863723591611</v>
      </c>
      <c r="H103" s="363">
        <v>0.28165381568447906</v>
      </c>
      <c r="I103" s="363">
        <v>0.27728416074232776</v>
      </c>
      <c r="J103" s="363">
        <v>0.27114820743122153</v>
      </c>
      <c r="K103" s="363">
        <v>0.26575806860889561</v>
      </c>
      <c r="L103" s="398">
        <v>0.26575806860889561</v>
      </c>
      <c r="M103" s="314">
        <f t="shared" si="76"/>
        <v>7.390495390039839E-2</v>
      </c>
      <c r="N103" s="316">
        <f t="shared" si="77"/>
        <v>4.4518526945022827E-2</v>
      </c>
      <c r="O103" s="362">
        <v>0</v>
      </c>
      <c r="P103" s="363">
        <v>0.16446433913221789</v>
      </c>
      <c r="Q103" s="363">
        <v>0.28750230004698285</v>
      </c>
      <c r="R103" s="363">
        <v>0.31081201946137021</v>
      </c>
      <c r="S103" s="363">
        <v>0.30487126115760804</v>
      </c>
      <c r="T103" s="363">
        <v>0.29330901357662392</v>
      </c>
      <c r="U103" s="363">
        <v>0.27939438045047266</v>
      </c>
      <c r="V103" s="363">
        <v>0.27310334153476945</v>
      </c>
      <c r="W103" s="363">
        <v>0.26734590170321948</v>
      </c>
      <c r="X103" s="363">
        <v>0.26575806860889561</v>
      </c>
      <c r="Y103" s="398">
        <v>0.26304055746101329</v>
      </c>
      <c r="Z103" s="314">
        <f t="shared" si="78"/>
        <v>0.10766365899643725</v>
      </c>
      <c r="AA103" s="316">
        <f t="shared" si="79"/>
        <v>6.7299627483544636E-2</v>
      </c>
      <c r="AB103" s="1054">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1055">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334">
        <f t="shared" ref="AD103:AD119" si="86">AB103*AH103+AC103*AI103</f>
        <v>0</v>
      </c>
      <c r="AE103" s="1338">
        <f t="shared" si="83"/>
        <v>7.390495390039839E-2</v>
      </c>
      <c r="AF103" s="1339">
        <f t="shared" si="84"/>
        <v>0.10766365899643725</v>
      </c>
      <c r="AG103" s="1339">
        <f t="shared" si="85"/>
        <v>0.18156861289683562</v>
      </c>
      <c r="AH103" s="1280">
        <f t="shared" si="81"/>
        <v>0.40703595583665114</v>
      </c>
      <c r="AI103" s="1340">
        <f t="shared" si="82"/>
        <v>0.59296404416334891</v>
      </c>
      <c r="AJ103" s="245"/>
      <c r="AK103" s="603"/>
      <c r="AL103" s="603"/>
      <c r="AM103" s="603"/>
    </row>
    <row r="104" spans="1:39" ht="13.5" thickBot="1" x14ac:dyDescent="0.25">
      <c r="A104" s="346">
        <v>2035</v>
      </c>
      <c r="B104" s="364">
        <v>0</v>
      </c>
      <c r="C104" s="365">
        <v>0.1535300251614154</v>
      </c>
      <c r="D104" s="365">
        <v>0.2820758087776698</v>
      </c>
      <c r="E104" s="365">
        <v>0.30933770555848855</v>
      </c>
      <c r="F104" s="365">
        <v>0.29825306201916696</v>
      </c>
      <c r="G104" s="365">
        <v>0.29163181710890734</v>
      </c>
      <c r="H104" s="365">
        <v>0.27398080791000512</v>
      </c>
      <c r="I104" s="365">
        <v>0.27001337779399293</v>
      </c>
      <c r="J104" s="365">
        <v>0.26615585104202616</v>
      </c>
      <c r="K104" s="365">
        <v>0.26308098052355444</v>
      </c>
      <c r="L104" s="399">
        <v>0.26308098052355444</v>
      </c>
      <c r="M104" s="328">
        <f t="shared" si="76"/>
        <v>7.369424255927548E-2</v>
      </c>
      <c r="N104" s="330">
        <f t="shared" si="77"/>
        <v>4.4424673643978597E-2</v>
      </c>
      <c r="O104" s="364">
        <v>0</v>
      </c>
      <c r="P104" s="365">
        <v>0.16452491896453361</v>
      </c>
      <c r="Q104" s="365">
        <v>0.28700352783635952</v>
      </c>
      <c r="R104" s="365">
        <v>0.30209463261988895</v>
      </c>
      <c r="S104" s="365">
        <v>0.29333000290506045</v>
      </c>
      <c r="T104" s="365">
        <v>0.28292092295202598</v>
      </c>
      <c r="U104" s="365">
        <v>0.27398080791000512</v>
      </c>
      <c r="V104" s="365">
        <v>0.26813630627263463</v>
      </c>
      <c r="W104" s="365">
        <v>0.26454300751690363</v>
      </c>
      <c r="X104" s="365">
        <v>0.26308098052355444</v>
      </c>
      <c r="Y104" s="399">
        <v>0.26066527519731214</v>
      </c>
      <c r="Z104" s="328">
        <f t="shared" si="78"/>
        <v>0.10659431311106854</v>
      </c>
      <c r="AA104" s="330">
        <f t="shared" si="79"/>
        <v>6.6963921548355745E-2</v>
      </c>
      <c r="AB104" s="1054">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1055">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334">
        <f t="shared" si="86"/>
        <v>0</v>
      </c>
      <c r="AE104" s="1338">
        <f t="shared" si="83"/>
        <v>7.369424255927548E-2</v>
      </c>
      <c r="AF104" s="1339">
        <f t="shared" si="84"/>
        <v>0.10659431311106854</v>
      </c>
      <c r="AG104" s="1339">
        <f t="shared" si="85"/>
        <v>0.18028855567034402</v>
      </c>
      <c r="AH104" s="1280">
        <f t="shared" si="81"/>
        <v>0.40875718530922578</v>
      </c>
      <c r="AI104" s="1340">
        <f t="shared" si="82"/>
        <v>0.59124281469077422</v>
      </c>
      <c r="AJ104" s="245"/>
      <c r="AK104" s="603"/>
      <c r="AL104" s="603"/>
      <c r="AM104" s="603"/>
    </row>
    <row r="105" spans="1:39" x14ac:dyDescent="0.2">
      <c r="A105" s="347">
        <v>2036</v>
      </c>
      <c r="B105" s="360">
        <v>0</v>
      </c>
      <c r="C105" s="361">
        <v>0.16501342973569394</v>
      </c>
      <c r="D105" s="361">
        <v>0.28217660579434062</v>
      </c>
      <c r="E105" s="361">
        <v>0.30907744072958721</v>
      </c>
      <c r="F105" s="361">
        <v>0.30260402919399443</v>
      </c>
      <c r="G105" s="361">
        <v>0.28937197700439571</v>
      </c>
      <c r="H105" s="361">
        <v>0.27413468594931828</v>
      </c>
      <c r="I105" s="361">
        <v>0.27016428379712104</v>
      </c>
      <c r="J105" s="361">
        <v>0.26653086410875004</v>
      </c>
      <c r="K105" s="361">
        <v>0.26192753403218011</v>
      </c>
      <c r="L105" s="397">
        <v>0.26192753403218011</v>
      </c>
      <c r="M105" s="300">
        <f t="shared" si="76"/>
        <v>7.5508247941953488E-2</v>
      </c>
      <c r="N105" s="302">
        <f t="shared" si="77"/>
        <v>4.6078296192109375E-2</v>
      </c>
      <c r="O105" s="360">
        <v>0</v>
      </c>
      <c r="P105" s="361">
        <v>0.17378189343070469</v>
      </c>
      <c r="Q105" s="361">
        <v>0.29076309005523443</v>
      </c>
      <c r="R105" s="361">
        <v>0.30437513721682946</v>
      </c>
      <c r="S105" s="361">
        <v>0.29111491432010211</v>
      </c>
      <c r="T105" s="361">
        <v>0.28136879828580252</v>
      </c>
      <c r="U105" s="361">
        <v>0.27204280337806602</v>
      </c>
      <c r="V105" s="361">
        <v>0.26653086410875004</v>
      </c>
      <c r="W105" s="361">
        <v>0.263226064963971</v>
      </c>
      <c r="X105" s="361">
        <v>0.26192753403218011</v>
      </c>
      <c r="Y105" s="397">
        <v>0.25988375295934418</v>
      </c>
      <c r="Z105" s="300">
        <f t="shared" si="78"/>
        <v>0.10941340254815587</v>
      </c>
      <c r="AA105" s="302">
        <f t="shared" si="79"/>
        <v>6.9531250002250439E-2</v>
      </c>
      <c r="AB105" s="1054">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1055">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334">
        <f t="shared" si="86"/>
        <v>0</v>
      </c>
      <c r="AE105" s="1338">
        <f t="shared" si="83"/>
        <v>7.5508247941953488E-2</v>
      </c>
      <c r="AF105" s="1339">
        <f t="shared" si="84"/>
        <v>0.10941340254815587</v>
      </c>
      <c r="AG105" s="1339">
        <f t="shared" si="85"/>
        <v>0.18492165049010936</v>
      </c>
      <c r="AH105" s="1280">
        <f t="shared" si="81"/>
        <v>0.40832562191516936</v>
      </c>
      <c r="AI105" s="1340">
        <f t="shared" si="82"/>
        <v>0.59167437808483059</v>
      </c>
      <c r="AJ105" s="245"/>
      <c r="AK105" s="603"/>
      <c r="AL105" s="603"/>
      <c r="AM105" s="603"/>
    </row>
    <row r="106" spans="1:39" x14ac:dyDescent="0.2">
      <c r="A106" s="348">
        <v>2037</v>
      </c>
      <c r="B106" s="362">
        <v>0</v>
      </c>
      <c r="C106" s="363">
        <v>0.15604803983228102</v>
      </c>
      <c r="D106" s="363">
        <v>0.28215796190246079</v>
      </c>
      <c r="E106" s="363">
        <v>0.30908322640074365</v>
      </c>
      <c r="F106" s="363">
        <v>0.30034872368396609</v>
      </c>
      <c r="G106" s="363">
        <v>0.28938232834476491</v>
      </c>
      <c r="H106" s="363">
        <v>0.27414683403024798</v>
      </c>
      <c r="I106" s="363">
        <v>0.27017684213124904</v>
      </c>
      <c r="J106" s="363">
        <v>0.26492692227475095</v>
      </c>
      <c r="K106" s="363">
        <v>0.26194087195281041</v>
      </c>
      <c r="L106" s="398">
        <v>0.26194087195281041</v>
      </c>
      <c r="M106" s="314">
        <f t="shared" si="76"/>
        <v>7.4110198418738657E-2</v>
      </c>
      <c r="N106" s="316">
        <f t="shared" si="77"/>
        <v>4.4794081573704757E-2</v>
      </c>
      <c r="O106" s="362">
        <v>0</v>
      </c>
      <c r="P106" s="363">
        <v>0.17378372811976239</v>
      </c>
      <c r="Q106" s="363">
        <v>0.29056043454353009</v>
      </c>
      <c r="R106" s="363">
        <v>0.30417126319140775</v>
      </c>
      <c r="S106" s="363">
        <v>0.29112463329089111</v>
      </c>
      <c r="T106" s="363">
        <v>0.28138029655218988</v>
      </c>
      <c r="U106" s="363">
        <v>0.2720551761050361</v>
      </c>
      <c r="V106" s="363">
        <v>0.26654379374344267</v>
      </c>
      <c r="W106" s="363">
        <v>0.26323927813868953</v>
      </c>
      <c r="X106" s="363">
        <v>0.26194087195281041</v>
      </c>
      <c r="Y106" s="398">
        <v>0.25989728340585017</v>
      </c>
      <c r="Z106" s="314">
        <f t="shared" si="78"/>
        <v>0.10938556495544355</v>
      </c>
      <c r="AA106" s="316">
        <f t="shared" si="79"/>
        <v>6.9517827131892321E-2</v>
      </c>
      <c r="AB106" s="1054">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1055">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334">
        <f t="shared" si="86"/>
        <v>0</v>
      </c>
      <c r="AE106" s="1338">
        <f t="shared" si="83"/>
        <v>7.4110198418738657E-2</v>
      </c>
      <c r="AF106" s="1339">
        <f t="shared" si="84"/>
        <v>0.10938556495544355</v>
      </c>
      <c r="AG106" s="1339">
        <f t="shared" si="85"/>
        <v>0.18349576337418222</v>
      </c>
      <c r="AH106" s="1280">
        <f t="shared" si="81"/>
        <v>0.4038796158340402</v>
      </c>
      <c r="AI106" s="1340">
        <f t="shared" si="82"/>
        <v>0.59612038416595969</v>
      </c>
      <c r="AJ106" s="245"/>
      <c r="AK106" s="603"/>
      <c r="AL106" s="603"/>
      <c r="AM106" s="603"/>
    </row>
    <row r="107" spans="1:39" x14ac:dyDescent="0.2">
      <c r="A107" s="348">
        <v>2038</v>
      </c>
      <c r="B107" s="362">
        <v>0</v>
      </c>
      <c r="C107" s="363">
        <v>0.16501581275052957</v>
      </c>
      <c r="D107" s="363">
        <v>0.28198981292198144</v>
      </c>
      <c r="E107" s="363">
        <v>0.30138199244831787</v>
      </c>
      <c r="F107" s="363">
        <v>0.29803158800056656</v>
      </c>
      <c r="G107" s="363">
        <v>0.28695699087450027</v>
      </c>
      <c r="H107" s="363">
        <v>0.27206573837441378</v>
      </c>
      <c r="I107" s="363">
        <v>0.26830924162677883</v>
      </c>
      <c r="J107" s="363">
        <v>0.2649382500370504</v>
      </c>
      <c r="K107" s="363">
        <v>0.26195246760201252</v>
      </c>
      <c r="L107" s="398">
        <v>0.26195246760201252</v>
      </c>
      <c r="M107" s="314">
        <f t="shared" si="76"/>
        <v>7.5015136840583571E-2</v>
      </c>
      <c r="N107" s="316">
        <f t="shared" si="77"/>
        <v>4.5898020345036865E-2</v>
      </c>
      <c r="O107" s="362">
        <v>0</v>
      </c>
      <c r="P107" s="363">
        <v>0.17378440307389478</v>
      </c>
      <c r="Q107" s="363">
        <v>0.28491500497079053</v>
      </c>
      <c r="R107" s="363">
        <v>0.29874436342046001</v>
      </c>
      <c r="S107" s="363">
        <v>0.28628690959970954</v>
      </c>
      <c r="T107" s="363">
        <v>0.27906149777234124</v>
      </c>
      <c r="U107" s="363">
        <v>0.27007161992055206</v>
      </c>
      <c r="V107" s="363">
        <v>0.26655495009102403</v>
      </c>
      <c r="W107" s="363">
        <v>0.26325074028638001</v>
      </c>
      <c r="X107" s="363">
        <v>0.26195246760201252</v>
      </c>
      <c r="Y107" s="398">
        <v>0.2599090853602713</v>
      </c>
      <c r="Z107" s="314">
        <f t="shared" si="78"/>
        <v>0.1084439387163966</v>
      </c>
      <c r="AA107" s="316">
        <f t="shared" si="79"/>
        <v>6.9092290233099513E-2</v>
      </c>
      <c r="AB107" s="1054">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1055">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334">
        <f t="shared" si="86"/>
        <v>0</v>
      </c>
      <c r="AE107" s="1338">
        <f t="shared" si="83"/>
        <v>7.5015136840583571E-2</v>
      </c>
      <c r="AF107" s="1339">
        <f t="shared" si="84"/>
        <v>0.1084439387163966</v>
      </c>
      <c r="AG107" s="1339">
        <f t="shared" si="85"/>
        <v>0.18345907555698016</v>
      </c>
      <c r="AH107" s="1280">
        <f t="shared" si="81"/>
        <v>0.40889302757488705</v>
      </c>
      <c r="AI107" s="1340">
        <f t="shared" si="82"/>
        <v>0.59110697242511301</v>
      </c>
      <c r="AJ107" s="245"/>
      <c r="AK107" s="603"/>
      <c r="AL107" s="603"/>
      <c r="AM107" s="603"/>
    </row>
    <row r="108" spans="1:39" x14ac:dyDescent="0.2">
      <c r="A108" s="348">
        <v>2039</v>
      </c>
      <c r="B108" s="362">
        <v>0</v>
      </c>
      <c r="C108" s="363">
        <v>0.16722424269501429</v>
      </c>
      <c r="D108" s="363">
        <v>0.28136921974015827</v>
      </c>
      <c r="E108" s="363">
        <v>0.29727089613678853</v>
      </c>
      <c r="F108" s="363">
        <v>0.29113947647221139</v>
      </c>
      <c r="G108" s="363">
        <v>0.28453606339655302</v>
      </c>
      <c r="H108" s="363">
        <v>0.27008174074927604</v>
      </c>
      <c r="I108" s="363">
        <v>0.26831954844195205</v>
      </c>
      <c r="J108" s="363">
        <v>0.26494892582926988</v>
      </c>
      <c r="K108" s="363">
        <v>0.26196341860180422</v>
      </c>
      <c r="L108" s="398">
        <v>0.26196341860180422</v>
      </c>
      <c r="M108" s="314">
        <f t="shared" si="76"/>
        <v>7.4930487453145997E-2</v>
      </c>
      <c r="N108" s="316">
        <f t="shared" si="77"/>
        <v>4.6055565792068882E-2</v>
      </c>
      <c r="O108" s="362">
        <v>0</v>
      </c>
      <c r="P108" s="363">
        <v>0.17378465137696292</v>
      </c>
      <c r="Q108" s="363">
        <v>0.28284216726973493</v>
      </c>
      <c r="R108" s="363">
        <v>0.2889803622240511</v>
      </c>
      <c r="S108" s="363">
        <v>0.28385505214220896</v>
      </c>
      <c r="T108" s="363">
        <v>0.27679992311017165</v>
      </c>
      <c r="U108" s="363">
        <v>0.27008174074927604</v>
      </c>
      <c r="V108" s="363">
        <v>0.26494892582926988</v>
      </c>
      <c r="W108" s="363">
        <v>0.26196341860180422</v>
      </c>
      <c r="X108" s="363">
        <v>0.26084444279011693</v>
      </c>
      <c r="Y108" s="398">
        <v>0.25992024767534849</v>
      </c>
      <c r="Z108" s="314">
        <f t="shared" si="78"/>
        <v>0.1075855111456881</v>
      </c>
      <c r="AA108" s="316">
        <f t="shared" si="79"/>
        <v>6.8748554147842436E-2</v>
      </c>
      <c r="AB108" s="1054">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1055">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334">
        <f t="shared" si="86"/>
        <v>0</v>
      </c>
      <c r="AE108" s="1338">
        <f t="shared" si="83"/>
        <v>7.4930487453145997E-2</v>
      </c>
      <c r="AF108" s="1339">
        <f t="shared" si="84"/>
        <v>0.1075855111456881</v>
      </c>
      <c r="AG108" s="1339">
        <f t="shared" si="85"/>
        <v>0.18251599859883411</v>
      </c>
      <c r="AH108" s="1280">
        <f t="shared" si="81"/>
        <v>0.4105420238685018</v>
      </c>
      <c r="AI108" s="1340">
        <f t="shared" si="82"/>
        <v>0.58945797613149808</v>
      </c>
      <c r="AJ108" s="245"/>
      <c r="AK108" s="603"/>
      <c r="AL108" s="603"/>
      <c r="AM108" s="603"/>
    </row>
    <row r="109" spans="1:39" ht="13.5" thickBot="1" x14ac:dyDescent="0.25">
      <c r="A109" s="346">
        <v>2040</v>
      </c>
      <c r="B109" s="364">
        <v>0</v>
      </c>
      <c r="C109" s="365">
        <v>0.16722433059246389</v>
      </c>
      <c r="D109" s="365">
        <v>0.27949927072856823</v>
      </c>
      <c r="E109" s="365">
        <v>0.28847854026229464</v>
      </c>
      <c r="F109" s="365">
        <v>0.28873390520507836</v>
      </c>
      <c r="G109" s="365">
        <v>0.27975231424227048</v>
      </c>
      <c r="H109" s="365">
        <v>0.27009162939188291</v>
      </c>
      <c r="I109" s="365">
        <v>0.26657572241671401</v>
      </c>
      <c r="J109" s="365">
        <v>0.26327214381576625</v>
      </c>
      <c r="K109" s="365">
        <v>0.2608552875187371</v>
      </c>
      <c r="L109" s="399">
        <v>0.2608552875187371</v>
      </c>
      <c r="M109" s="328">
        <f t="shared" si="76"/>
        <v>7.4308368061283159E-2</v>
      </c>
      <c r="N109" s="330">
        <f t="shared" si="77"/>
        <v>4.5789750559268753E-2</v>
      </c>
      <c r="O109" s="364">
        <v>0</v>
      </c>
      <c r="P109" s="365">
        <v>0.17870506632865549</v>
      </c>
      <c r="Q109" s="365">
        <v>0.28604838458158266</v>
      </c>
      <c r="R109" s="365">
        <v>0.27804287475117723</v>
      </c>
      <c r="S109" s="365">
        <v>0.28142862657361262</v>
      </c>
      <c r="T109" s="365">
        <v>0.27460975916490948</v>
      </c>
      <c r="U109" s="365">
        <v>0.26820884211891072</v>
      </c>
      <c r="V109" s="365">
        <v>0.26495937480771725</v>
      </c>
      <c r="W109" s="365">
        <v>0.26197414585497214</v>
      </c>
      <c r="X109" s="365">
        <v>0.2608552875187371</v>
      </c>
      <c r="Y109" s="399">
        <v>0.25993118837412421</v>
      </c>
      <c r="Z109" s="328">
        <f t="shared" si="78"/>
        <v>0.10842706208016878</v>
      </c>
      <c r="AA109" s="330">
        <f t="shared" si="79"/>
        <v>6.98827601529321E-2</v>
      </c>
      <c r="AB109" s="1054">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1055">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334">
        <f t="shared" si="86"/>
        <v>0</v>
      </c>
      <c r="AE109" s="1338">
        <f t="shared" si="83"/>
        <v>7.4308368061283159E-2</v>
      </c>
      <c r="AF109" s="1339">
        <f t="shared" si="84"/>
        <v>0.10842706208016878</v>
      </c>
      <c r="AG109" s="1339">
        <f t="shared" si="85"/>
        <v>0.18273543014145194</v>
      </c>
      <c r="AH109" s="1280">
        <f t="shared" si="81"/>
        <v>0.4066445571270032</v>
      </c>
      <c r="AI109" s="1340">
        <f t="shared" si="82"/>
        <v>0.5933554428729968</v>
      </c>
      <c r="AJ109" s="245"/>
      <c r="AK109" s="603"/>
      <c r="AL109" s="603"/>
      <c r="AM109" s="603"/>
    </row>
    <row r="110" spans="1:39" x14ac:dyDescent="0.2">
      <c r="A110" s="347">
        <v>2041</v>
      </c>
      <c r="B110" s="360">
        <v>0</v>
      </c>
      <c r="C110" s="361">
        <v>0.16722436292815179</v>
      </c>
      <c r="D110" s="361">
        <v>0.27417636993142025</v>
      </c>
      <c r="E110" s="361">
        <v>0.27492606773675676</v>
      </c>
      <c r="F110" s="361">
        <v>0.28387056920512171</v>
      </c>
      <c r="G110" s="361">
        <v>0.277424836548603</v>
      </c>
      <c r="H110" s="361">
        <v>0.26821886008169182</v>
      </c>
      <c r="I110" s="361">
        <v>0.26496974119449307</v>
      </c>
      <c r="J110" s="361">
        <v>0.26328265108904375</v>
      </c>
      <c r="K110" s="361">
        <v>0.26086605127521123</v>
      </c>
      <c r="L110" s="397">
        <v>0.26086605127521123</v>
      </c>
      <c r="M110" s="300">
        <f t="shared" si="76"/>
        <v>7.3088772198644333E-2</v>
      </c>
      <c r="N110" s="302">
        <f t="shared" si="77"/>
        <v>4.5244230434210789E-2</v>
      </c>
      <c r="O110" s="360">
        <v>0</v>
      </c>
      <c r="P110" s="361">
        <v>0.17855901664833598</v>
      </c>
      <c r="Q110" s="361">
        <v>0.28064456719567493</v>
      </c>
      <c r="R110" s="361">
        <v>0.26438007214641202</v>
      </c>
      <c r="S110" s="361">
        <v>0.27663601438428509</v>
      </c>
      <c r="T110" s="361">
        <v>0.27250491247451619</v>
      </c>
      <c r="U110" s="361">
        <v>0.26646069550871493</v>
      </c>
      <c r="V110" s="361">
        <v>0.2635047064761008</v>
      </c>
      <c r="W110" s="361">
        <v>0.26198479168813293</v>
      </c>
      <c r="X110" s="361">
        <v>0.26086605127521123</v>
      </c>
      <c r="Y110" s="397">
        <v>0.25923089736942229</v>
      </c>
      <c r="Z110" s="300">
        <f t="shared" si="78"/>
        <v>0.10694965346005529</v>
      </c>
      <c r="AA110" s="302">
        <f t="shared" si="79"/>
        <v>6.9239511908856882E-2</v>
      </c>
      <c r="AB110" s="1054">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1055">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334">
        <f t="shared" si="86"/>
        <v>0</v>
      </c>
      <c r="AE110" s="1338">
        <f t="shared" si="83"/>
        <v>7.3088772198644333E-2</v>
      </c>
      <c r="AF110" s="1339">
        <f t="shared" si="84"/>
        <v>0.10694965346005529</v>
      </c>
      <c r="AG110" s="1339">
        <f t="shared" si="85"/>
        <v>0.18003842565869962</v>
      </c>
      <c r="AH110" s="1280">
        <f t="shared" si="81"/>
        <v>0.4059620713258143</v>
      </c>
      <c r="AI110" s="1340">
        <f t="shared" si="82"/>
        <v>0.5940379286741857</v>
      </c>
      <c r="AJ110" s="245"/>
      <c r="AK110" s="603"/>
      <c r="AL110" s="603"/>
      <c r="AM110" s="603"/>
    </row>
    <row r="111" spans="1:39" x14ac:dyDescent="0.2">
      <c r="A111" s="348">
        <v>2042</v>
      </c>
      <c r="B111" s="362">
        <v>0</v>
      </c>
      <c r="C111" s="363">
        <v>0.16693218546083108</v>
      </c>
      <c r="D111" s="363">
        <v>0.26540493007398036</v>
      </c>
      <c r="E111" s="363">
        <v>0.25641157354177374</v>
      </c>
      <c r="F111" s="363">
        <v>0.27902902800069279</v>
      </c>
      <c r="G111" s="363">
        <v>0.27294950062508089</v>
      </c>
      <c r="H111" s="363">
        <v>0.26647088249203299</v>
      </c>
      <c r="I111" s="363">
        <v>0.26498008063026696</v>
      </c>
      <c r="J111" s="363">
        <v>0.2619954111148074</v>
      </c>
      <c r="K111" s="363">
        <v>0.25995288254823756</v>
      </c>
      <c r="L111" s="398">
        <v>0.25995288254823756</v>
      </c>
      <c r="M111" s="314">
        <f t="shared" si="76"/>
        <v>7.1290940739703809E-2</v>
      </c>
      <c r="N111" s="316">
        <f t="shared" si="77"/>
        <v>4.4394995224243221E-2</v>
      </c>
      <c r="O111" s="362">
        <v>0</v>
      </c>
      <c r="P111" s="363">
        <v>0.17441450812491735</v>
      </c>
      <c r="Q111" s="363">
        <v>0.26380496900587275</v>
      </c>
      <c r="R111" s="363">
        <v>0.24789226549712415</v>
      </c>
      <c r="S111" s="363">
        <v>0.27430500419330472</v>
      </c>
      <c r="T111" s="363">
        <v>0.27049916182322864</v>
      </c>
      <c r="U111" s="363">
        <v>0.26485084342802773</v>
      </c>
      <c r="V111" s="363">
        <v>0.26351520476639345</v>
      </c>
      <c r="W111" s="363">
        <v>0.26087678883799797</v>
      </c>
      <c r="X111" s="363">
        <v>0.25995288254823756</v>
      </c>
      <c r="Y111" s="398">
        <v>0.25924180507811179</v>
      </c>
      <c r="Z111" s="314">
        <f t="shared" si="78"/>
        <v>0.10333747764462431</v>
      </c>
      <c r="AA111" s="316">
        <f t="shared" si="79"/>
        <v>6.6993698883349648E-2</v>
      </c>
      <c r="AB111" s="1054">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1055">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334">
        <f t="shared" si="86"/>
        <v>0</v>
      </c>
      <c r="AE111" s="1338">
        <f t="shared" si="83"/>
        <v>7.1290940739703809E-2</v>
      </c>
      <c r="AF111" s="1339">
        <f t="shared" si="84"/>
        <v>0.10333747764462431</v>
      </c>
      <c r="AG111" s="1339">
        <f t="shared" si="85"/>
        <v>0.17462841838432813</v>
      </c>
      <c r="AH111" s="1280">
        <f t="shared" si="81"/>
        <v>0.4082436375436001</v>
      </c>
      <c r="AI111" s="1340">
        <f t="shared" si="82"/>
        <v>0.59175636245639984</v>
      </c>
      <c r="AJ111" s="245"/>
      <c r="AK111" s="603"/>
      <c r="AL111" s="603"/>
      <c r="AM111" s="603"/>
    </row>
    <row r="112" spans="1:39" x14ac:dyDescent="0.2">
      <c r="A112" s="348">
        <v>2043</v>
      </c>
      <c r="B112" s="362">
        <v>0</v>
      </c>
      <c r="C112" s="363">
        <v>0.16428311594218992</v>
      </c>
      <c r="D112" s="363">
        <v>0.2451030823370855</v>
      </c>
      <c r="E112" s="363">
        <v>0.23811270682981439</v>
      </c>
      <c r="F112" s="363">
        <v>0.27431389604204925</v>
      </c>
      <c r="G112" s="363">
        <v>0.270838346800369</v>
      </c>
      <c r="H112" s="363">
        <v>0.26486119499427047</v>
      </c>
      <c r="I112" s="363">
        <v>0.26352568959177219</v>
      </c>
      <c r="J112" s="363">
        <v>0.26200601714091537</v>
      </c>
      <c r="K112" s="363">
        <v>0.25996370330936802</v>
      </c>
      <c r="L112" s="398">
        <v>0.25996370330936802</v>
      </c>
      <c r="M112" s="314">
        <f t="shared" si="76"/>
        <v>6.8130885057385362E-2</v>
      </c>
      <c r="N112" s="316">
        <f t="shared" si="77"/>
        <v>4.2631811947836995E-2</v>
      </c>
      <c r="O112" s="362">
        <v>0</v>
      </c>
      <c r="P112" s="363">
        <v>0.16920932993639981</v>
      </c>
      <c r="Q112" s="363">
        <v>0.2422436425214452</v>
      </c>
      <c r="R112" s="363">
        <v>0.2350032751103685</v>
      </c>
      <c r="S112" s="363">
        <v>0.26982432402571277</v>
      </c>
      <c r="T112" s="363">
        <v>0.2686061819441925</v>
      </c>
      <c r="U112" s="363">
        <v>0.26486119499427047</v>
      </c>
      <c r="V112" s="363">
        <v>0.26222592337488454</v>
      </c>
      <c r="W112" s="363">
        <v>0.26088751304588936</v>
      </c>
      <c r="X112" s="363">
        <v>0.25996370330936802</v>
      </c>
      <c r="Y112" s="398">
        <v>0.25925269949956947</v>
      </c>
      <c r="Z112" s="314">
        <f t="shared" si="78"/>
        <v>9.9234264041848527E-2</v>
      </c>
      <c r="AA112" s="316">
        <f t="shared" si="79"/>
        <v>6.433039625571832E-2</v>
      </c>
      <c r="AB112" s="1054">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1055">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334">
        <f t="shared" si="86"/>
        <v>0</v>
      </c>
      <c r="AE112" s="1338">
        <f t="shared" si="83"/>
        <v>6.8130885057385362E-2</v>
      </c>
      <c r="AF112" s="1339">
        <f t="shared" si="84"/>
        <v>9.9234264041848527E-2</v>
      </c>
      <c r="AG112" s="1339">
        <f t="shared" si="85"/>
        <v>0.16736514909923389</v>
      </c>
      <c r="AH112" s="1280">
        <f t="shared" si="81"/>
        <v>0.40707928397320819</v>
      </c>
      <c r="AI112" s="1340">
        <f t="shared" si="82"/>
        <v>0.59292071602679175</v>
      </c>
      <c r="AJ112" s="245"/>
      <c r="AK112" s="603"/>
      <c r="AL112" s="603"/>
      <c r="AM112" s="603"/>
    </row>
    <row r="113" spans="1:39" x14ac:dyDescent="0.2">
      <c r="A113" s="348">
        <v>2044</v>
      </c>
      <c r="B113" s="362">
        <v>0</v>
      </c>
      <c r="C113" s="363">
        <v>0.15659705502025986</v>
      </c>
      <c r="D113" s="363">
        <v>0.22116567052558112</v>
      </c>
      <c r="E113" s="363">
        <v>0.22720822314221292</v>
      </c>
      <c r="F113" s="363">
        <v>0.26983376095455569</v>
      </c>
      <c r="G113" s="363">
        <v>0.26882689594695564</v>
      </c>
      <c r="H113" s="363">
        <v>0.26340337904091765</v>
      </c>
      <c r="I113" s="363">
        <v>0.26223655572807453</v>
      </c>
      <c r="J113" s="363">
        <v>0.26089824593235555</v>
      </c>
      <c r="K113" s="363">
        <v>0.25997453289266287</v>
      </c>
      <c r="L113" s="398">
        <v>0.25997453289266287</v>
      </c>
      <c r="M113" s="314">
        <f t="shared" si="76"/>
        <v>6.4231600941036054E-2</v>
      </c>
      <c r="N113" s="316">
        <f t="shared" si="77"/>
        <v>4.0102410646923749E-2</v>
      </c>
      <c r="O113" s="362">
        <v>0</v>
      </c>
      <c r="P113" s="363">
        <v>0.16157468838316058</v>
      </c>
      <c r="Q113" s="363">
        <v>0.22508520485430636</v>
      </c>
      <c r="R113" s="363">
        <v>0.22625473902781987</v>
      </c>
      <c r="S113" s="363">
        <v>0.2677113050058551</v>
      </c>
      <c r="T113" s="363">
        <v>0.26683959478222197</v>
      </c>
      <c r="U113" s="363">
        <v>0.26340337904091765</v>
      </c>
      <c r="V113" s="363">
        <v>0.2611162957780358</v>
      </c>
      <c r="W113" s="363">
        <v>0.25997453289266287</v>
      </c>
      <c r="X113" s="363">
        <v>0.25997453289266287</v>
      </c>
      <c r="Y113" s="398">
        <v>0.25878941485479029</v>
      </c>
      <c r="Z113" s="314">
        <f t="shared" si="78"/>
        <v>9.5102475576548703E-2</v>
      </c>
      <c r="AA113" s="316">
        <f t="shared" si="79"/>
        <v>6.1350417148348733E-2</v>
      </c>
      <c r="AB113" s="1054">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1055">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334">
        <f t="shared" si="86"/>
        <v>0</v>
      </c>
      <c r="AE113" s="1338">
        <f t="shared" si="83"/>
        <v>6.4231600941036054E-2</v>
      </c>
      <c r="AF113" s="1339">
        <f t="shared" si="84"/>
        <v>9.5102475576548703E-2</v>
      </c>
      <c r="AG113" s="1339">
        <f t="shared" si="85"/>
        <v>0.15933407651758474</v>
      </c>
      <c r="AH113" s="1280">
        <f t="shared" si="81"/>
        <v>0.40312532224672731</v>
      </c>
      <c r="AI113" s="1340">
        <f t="shared" si="82"/>
        <v>0.59687467775327274</v>
      </c>
      <c r="AJ113" s="245"/>
      <c r="AK113" s="603"/>
      <c r="AL113" s="603"/>
      <c r="AM113" s="603"/>
    </row>
    <row r="114" spans="1:39" ht="13.5" thickBot="1" x14ac:dyDescent="0.25">
      <c r="A114" s="346">
        <v>2045</v>
      </c>
      <c r="B114" s="364">
        <v>0</v>
      </c>
      <c r="C114" s="365">
        <v>0.14472056175572168</v>
      </c>
      <c r="D114" s="365">
        <v>0.21100257168433109</v>
      </c>
      <c r="E114" s="365">
        <v>0.21874971165138035</v>
      </c>
      <c r="F114" s="365">
        <v>0.26772099224890306</v>
      </c>
      <c r="G114" s="365">
        <v>0.2669288008101483</v>
      </c>
      <c r="H114" s="365">
        <v>0.26341390186371288</v>
      </c>
      <c r="I114" s="365">
        <v>0.26224719210267544</v>
      </c>
      <c r="J114" s="365">
        <v>0.26090898291425341</v>
      </c>
      <c r="K114" s="365">
        <v>0.25927451042220923</v>
      </c>
      <c r="L114" s="399">
        <v>0.25927451042220923</v>
      </c>
      <c r="M114" s="328">
        <f t="shared" si="76"/>
        <v>6.1107705662341284E-2</v>
      </c>
      <c r="N114" s="330">
        <f t="shared" si="77"/>
        <v>3.7742754096352561E-2</v>
      </c>
      <c r="O114" s="364">
        <v>0</v>
      </c>
      <c r="P114" s="365">
        <v>0.14642504593676203</v>
      </c>
      <c r="Q114" s="365">
        <v>0.21364185174617223</v>
      </c>
      <c r="R114" s="365">
        <v>0.2183614314069722</v>
      </c>
      <c r="S114" s="365">
        <v>0.26569845659880625</v>
      </c>
      <c r="T114" s="365">
        <v>0.26521297623795931</v>
      </c>
      <c r="U114" s="365">
        <v>0.26211124422122462</v>
      </c>
      <c r="V114" s="365">
        <v>0.26112705071423631</v>
      </c>
      <c r="W114" s="365">
        <v>0.25998536663945793</v>
      </c>
      <c r="X114" s="365">
        <v>0.25927451042220923</v>
      </c>
      <c r="Y114" s="399">
        <v>0.25880037134786499</v>
      </c>
      <c r="Z114" s="328">
        <f t="shared" si="78"/>
        <v>8.9506233539029603E-2</v>
      </c>
      <c r="AA114" s="330">
        <f t="shared" si="79"/>
        <v>5.6737762563384031E-2</v>
      </c>
      <c r="AB114" s="1054">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1055">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334">
        <f t="shared" si="86"/>
        <v>0</v>
      </c>
      <c r="AE114" s="1338">
        <f t="shared" si="83"/>
        <v>6.1107705662341284E-2</v>
      </c>
      <c r="AF114" s="1339">
        <f t="shared" si="84"/>
        <v>8.9506233539029603E-2</v>
      </c>
      <c r="AG114" s="1339">
        <f t="shared" si="85"/>
        <v>0.15061393920137089</v>
      </c>
      <c r="AH114" s="1280">
        <f t="shared" si="81"/>
        <v>0.4057241048628325</v>
      </c>
      <c r="AI114" s="1340">
        <f t="shared" si="82"/>
        <v>0.5942758951371675</v>
      </c>
      <c r="AJ114" s="245"/>
      <c r="AK114" s="603"/>
      <c r="AL114" s="603"/>
      <c r="AM114" s="603"/>
    </row>
    <row r="115" spans="1:39" x14ac:dyDescent="0.2">
      <c r="A115" s="347">
        <v>2046</v>
      </c>
      <c r="B115" s="360">
        <v>0</v>
      </c>
      <c r="C115" s="361">
        <v>0.13664776843427998</v>
      </c>
      <c r="D115" s="361">
        <v>0.19863150100573421</v>
      </c>
      <c r="E115" s="361">
        <v>0.21548940887827547</v>
      </c>
      <c r="F115" s="361">
        <v>0.26570837914865791</v>
      </c>
      <c r="G115" s="361">
        <v>0.26515765440538441</v>
      </c>
      <c r="H115" s="361">
        <v>0.26212191142677271</v>
      </c>
      <c r="I115" s="361">
        <v>0.26113781075696724</v>
      </c>
      <c r="J115" s="361">
        <v>0.25999620554754388</v>
      </c>
      <c r="K115" s="361">
        <v>0.25928542320210141</v>
      </c>
      <c r="L115" s="397">
        <v>0.25928542320210141</v>
      </c>
      <c r="M115" s="300">
        <f t="shared" si="76"/>
        <v>5.8581081225138464E-2</v>
      </c>
      <c r="N115" s="302">
        <f t="shared" si="77"/>
        <v>3.5897140950113045E-2</v>
      </c>
      <c r="O115" s="360">
        <v>0</v>
      </c>
      <c r="P115" s="361">
        <v>0.13826785054981025</v>
      </c>
      <c r="Q115" s="361">
        <v>0.19541540428861826</v>
      </c>
      <c r="R115" s="361">
        <v>0.21537523136023914</v>
      </c>
      <c r="S115" s="361">
        <v>0.26379938636604383</v>
      </c>
      <c r="T115" s="361">
        <v>0.26522345545919163</v>
      </c>
      <c r="U115" s="361">
        <v>0.26212191142677271</v>
      </c>
      <c r="V115" s="361">
        <v>0.26113781075696724</v>
      </c>
      <c r="W115" s="361">
        <v>0.25999620554754388</v>
      </c>
      <c r="X115" s="361">
        <v>0.25928542320210141</v>
      </c>
      <c r="Y115" s="397">
        <v>0.25881133308454818</v>
      </c>
      <c r="Z115" s="300">
        <f t="shared" si="78"/>
        <v>8.556752328050285E-2</v>
      </c>
      <c r="AA115" s="302">
        <f t="shared" si="79"/>
        <v>5.3722270477880391E-2</v>
      </c>
      <c r="AB115" s="1054">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1055">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334">
        <f t="shared" si="86"/>
        <v>0</v>
      </c>
      <c r="AE115" s="1338">
        <f t="shared" si="83"/>
        <v>5.8581081225138464E-2</v>
      </c>
      <c r="AF115" s="1339">
        <f t="shared" si="84"/>
        <v>8.556752328050285E-2</v>
      </c>
      <c r="AG115" s="1339">
        <f t="shared" si="85"/>
        <v>0.14414860450564132</v>
      </c>
      <c r="AH115" s="1280">
        <f t="shared" si="81"/>
        <v>0.40639367565189205</v>
      </c>
      <c r="AI115" s="1340">
        <f t="shared" si="82"/>
        <v>0.59360632434810789</v>
      </c>
      <c r="AJ115" s="245"/>
      <c r="AK115" s="603"/>
      <c r="AL115" s="603"/>
      <c r="AM115" s="603"/>
    </row>
    <row r="116" spans="1:39" x14ac:dyDescent="0.2">
      <c r="A116" s="348">
        <v>2047</v>
      </c>
      <c r="B116" s="362">
        <v>0</v>
      </c>
      <c r="C116" s="363">
        <v>0.13156565136672993</v>
      </c>
      <c r="D116" s="363">
        <v>0.19308115791223313</v>
      </c>
      <c r="E116" s="363">
        <v>0.2123834779016478</v>
      </c>
      <c r="F116" s="363">
        <v>0.26571829975287342</v>
      </c>
      <c r="G116" s="363">
        <v>0.26516798057372998</v>
      </c>
      <c r="H116" s="363">
        <v>0.26213257664281214</v>
      </c>
      <c r="I116" s="363">
        <v>0.26114856880807708</v>
      </c>
      <c r="J116" s="363">
        <v>0.26022360455969007</v>
      </c>
      <c r="K116" s="363">
        <v>0.25929633398862101</v>
      </c>
      <c r="L116" s="398">
        <v>0.25929633398862101</v>
      </c>
      <c r="M116" s="314">
        <f t="shared" si="76"/>
        <v>5.7181513120130555E-2</v>
      </c>
      <c r="N116" s="316">
        <f t="shared" si="77"/>
        <v>3.4841595127800828E-2</v>
      </c>
      <c r="O116" s="362">
        <v>0</v>
      </c>
      <c r="P116" s="363">
        <v>0.12750021321195928</v>
      </c>
      <c r="Q116" s="363">
        <v>0.19357783722415228</v>
      </c>
      <c r="R116" s="363">
        <v>0.21394518925587575</v>
      </c>
      <c r="S116" s="363">
        <v>0.26380952065334839</v>
      </c>
      <c r="T116" s="363">
        <v>0.26523393269109447</v>
      </c>
      <c r="U116" s="363">
        <v>0.26213257664281214</v>
      </c>
      <c r="V116" s="363">
        <v>0.26114856880807708</v>
      </c>
      <c r="W116" s="363">
        <v>0.25929633398862101</v>
      </c>
      <c r="X116" s="363">
        <v>0.25929633398862101</v>
      </c>
      <c r="Y116" s="398">
        <v>0.25882229282688513</v>
      </c>
      <c r="Z116" s="314">
        <f t="shared" si="78"/>
        <v>8.2420524634011436E-2</v>
      </c>
      <c r="AA116" s="316">
        <f t="shared" si="79"/>
        <v>5.0846298822460737E-2</v>
      </c>
      <c r="AB116" s="1054">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1055">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334">
        <f t="shared" si="86"/>
        <v>0</v>
      </c>
      <c r="AE116" s="1338">
        <f t="shared" si="83"/>
        <v>5.7181513120130555E-2</v>
      </c>
      <c r="AF116" s="1339">
        <f t="shared" si="84"/>
        <v>8.2420524634011436E-2</v>
      </c>
      <c r="AG116" s="1339">
        <f t="shared" si="85"/>
        <v>0.13960203775414198</v>
      </c>
      <c r="AH116" s="1280">
        <f t="shared" si="81"/>
        <v>0.4096037138142275</v>
      </c>
      <c r="AI116" s="1340">
        <f t="shared" si="82"/>
        <v>0.59039628618577256</v>
      </c>
      <c r="AJ116" s="245"/>
      <c r="AK116" s="603"/>
      <c r="AL116" s="603"/>
      <c r="AM116" s="603"/>
    </row>
    <row r="117" spans="1:39" x14ac:dyDescent="0.2">
      <c r="A117" s="348">
        <v>2048</v>
      </c>
      <c r="B117" s="362">
        <v>0</v>
      </c>
      <c r="C117" s="363">
        <v>0.12720771929841593</v>
      </c>
      <c r="D117" s="363">
        <v>0.18943263571877944</v>
      </c>
      <c r="E117" s="363">
        <v>0.21087620040902247</v>
      </c>
      <c r="F117" s="363">
        <v>0.26381966715228</v>
      </c>
      <c r="G117" s="363">
        <v>0.2651783191958158</v>
      </c>
      <c r="H117" s="363">
        <v>0.26214325475877259</v>
      </c>
      <c r="I117" s="363">
        <v>0.26115933988236251</v>
      </c>
      <c r="J117" s="363">
        <v>0.2602344726872895</v>
      </c>
      <c r="K117" s="363">
        <v>0.25930725800252136</v>
      </c>
      <c r="L117" s="398">
        <v>0.25930725800252136</v>
      </c>
      <c r="M117" s="314">
        <f t="shared" si="76"/>
        <v>5.6092664300307252E-2</v>
      </c>
      <c r="N117" s="316">
        <f t="shared" si="77"/>
        <v>3.4000652523527353E-2</v>
      </c>
      <c r="O117" s="362">
        <v>0</v>
      </c>
      <c r="P117" s="363">
        <v>0.12597678373618298</v>
      </c>
      <c r="Q117" s="363">
        <v>0.19013512047747239</v>
      </c>
      <c r="R117" s="363">
        <v>0.21376814300681082</v>
      </c>
      <c r="S117" s="363">
        <v>0.26203796596842083</v>
      </c>
      <c r="T117" s="363">
        <v>0.26376126836836455</v>
      </c>
      <c r="U117" s="363">
        <v>0.26214325475877259</v>
      </c>
      <c r="V117" s="363">
        <v>0.2602344726872895</v>
      </c>
      <c r="W117" s="363">
        <v>0.25930725800252136</v>
      </c>
      <c r="X117" s="363">
        <v>0.25930725800252136</v>
      </c>
      <c r="Y117" s="398">
        <v>0.25883326586179922</v>
      </c>
      <c r="Z117" s="314">
        <f t="shared" si="78"/>
        <v>8.1647235129042442E-2</v>
      </c>
      <c r="AA117" s="316">
        <f t="shared" si="79"/>
        <v>5.0275569692400414E-2</v>
      </c>
      <c r="AB117" s="1054">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1055">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334">
        <f t="shared" si="86"/>
        <v>0</v>
      </c>
      <c r="AE117" s="1338">
        <f t="shared" si="83"/>
        <v>5.6092664300307252E-2</v>
      </c>
      <c r="AF117" s="1339">
        <f t="shared" si="84"/>
        <v>8.1647235129042442E-2</v>
      </c>
      <c r="AG117" s="1339">
        <f t="shared" si="85"/>
        <v>0.13773989942934969</v>
      </c>
      <c r="AH117" s="1280">
        <f t="shared" si="81"/>
        <v>0.40723613515543916</v>
      </c>
      <c r="AI117" s="1340">
        <f t="shared" si="82"/>
        <v>0.59276386484456078</v>
      </c>
      <c r="AJ117" s="245"/>
      <c r="AK117" s="603"/>
      <c r="AL117" s="603"/>
      <c r="AM117" s="603"/>
    </row>
    <row r="118" spans="1:39" x14ac:dyDescent="0.2">
      <c r="A118" s="348">
        <v>2049</v>
      </c>
      <c r="B118" s="362">
        <v>0</v>
      </c>
      <c r="C118" s="363">
        <v>0.12111875529158295</v>
      </c>
      <c r="D118" s="363">
        <v>0.1892907206705968</v>
      </c>
      <c r="E118" s="363">
        <v>0.21070740279029726</v>
      </c>
      <c r="F118" s="363">
        <v>0.26382981894963026</v>
      </c>
      <c r="G118" s="363">
        <v>0.26518866322756074</v>
      </c>
      <c r="H118" s="363">
        <v>0.2621539384993602</v>
      </c>
      <c r="I118" s="363">
        <v>0.26117011664122319</v>
      </c>
      <c r="J118" s="363">
        <v>0.26024534656198717</v>
      </c>
      <c r="K118" s="363">
        <v>0.25931818780105081</v>
      </c>
      <c r="L118" s="398">
        <v>0.25931818780105081</v>
      </c>
      <c r="M118" s="314">
        <f t="shared" si="76"/>
        <v>5.5156268304577163E-2</v>
      </c>
      <c r="N118" s="316">
        <f t="shared" si="77"/>
        <v>3.3128998292332915E-2</v>
      </c>
      <c r="O118" s="362">
        <v>0</v>
      </c>
      <c r="P118" s="363">
        <v>0.12281974316226613</v>
      </c>
      <c r="Q118" s="363">
        <v>0.1899873274560763</v>
      </c>
      <c r="R118" s="363">
        <v>0.21245880813568624</v>
      </c>
      <c r="S118" s="363">
        <v>0.26204831390279698</v>
      </c>
      <c r="T118" s="363">
        <v>0.26377192405820332</v>
      </c>
      <c r="U118" s="363">
        <v>0.2621539384993602</v>
      </c>
      <c r="V118" s="363">
        <v>0.26024534656198717</v>
      </c>
      <c r="W118" s="363">
        <v>0.25931818780105081</v>
      </c>
      <c r="X118" s="363">
        <v>0.25931818780105081</v>
      </c>
      <c r="Y118" s="398">
        <v>0.25884424471315509</v>
      </c>
      <c r="Z118" s="314">
        <f t="shared" si="78"/>
        <v>8.070526491704974E-2</v>
      </c>
      <c r="AA118" s="316">
        <f t="shared" si="79"/>
        <v>4.9430502398981099E-2</v>
      </c>
      <c r="AB118" s="1054">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1055">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334">
        <f t="shared" si="86"/>
        <v>0</v>
      </c>
      <c r="AE118" s="1338">
        <f t="shared" si="83"/>
        <v>5.5156268304577163E-2</v>
      </c>
      <c r="AF118" s="1339">
        <f t="shared" si="84"/>
        <v>8.070526491704974E-2</v>
      </c>
      <c r="AG118" s="1339">
        <f t="shared" si="85"/>
        <v>0.13586153322162692</v>
      </c>
      <c r="AH118" s="1280">
        <f t="shared" si="81"/>
        <v>0.4059741340810748</v>
      </c>
      <c r="AI118" s="1340">
        <f t="shared" si="82"/>
        <v>0.59402586591892514</v>
      </c>
      <c r="AJ118" s="245"/>
      <c r="AK118" s="603"/>
      <c r="AL118" s="603"/>
      <c r="AM118" s="603"/>
    </row>
    <row r="119" spans="1:39" ht="13.5" thickBot="1" x14ac:dyDescent="0.25">
      <c r="A119" s="346">
        <v>2050</v>
      </c>
      <c r="B119" s="364">
        <v>0</v>
      </c>
      <c r="C119" s="365">
        <v>0.12104845729396474</v>
      </c>
      <c r="D119" s="365">
        <v>0.18741999190652719</v>
      </c>
      <c r="E119" s="365">
        <v>0.20927992806518553</v>
      </c>
      <c r="F119" s="365">
        <v>0.26383997604326609</v>
      </c>
      <c r="G119" s="365">
        <v>0.26355858679561389</v>
      </c>
      <c r="H119" s="365">
        <v>0.26216462786240652</v>
      </c>
      <c r="I119" s="365">
        <v>0.26118089908248915</v>
      </c>
      <c r="J119" s="365">
        <v>0.26025622618161171</v>
      </c>
      <c r="K119" s="365">
        <v>0.25932912338203945</v>
      </c>
      <c r="L119" s="399">
        <v>0.25932912338203945</v>
      </c>
      <c r="M119" s="328">
        <f t="shared" si="76"/>
        <v>5.4914007944309465E-2</v>
      </c>
      <c r="N119" s="330">
        <f t="shared" si="77"/>
        <v>3.2998858037918806E-2</v>
      </c>
      <c r="O119" s="364">
        <v>0</v>
      </c>
      <c r="P119" s="365">
        <v>0.12120775152901156</v>
      </c>
      <c r="Q119" s="365">
        <v>0.1882436293066386</v>
      </c>
      <c r="R119" s="365">
        <v>0.21228550550389913</v>
      </c>
      <c r="S119" s="365">
        <v>0.26205866725670662</v>
      </c>
      <c r="T119" s="365">
        <v>0.26378258534813864</v>
      </c>
      <c r="U119" s="365">
        <v>0.26216462786240652</v>
      </c>
      <c r="V119" s="365">
        <v>0.26025622618161171</v>
      </c>
      <c r="W119" s="365">
        <v>0.25932912338203945</v>
      </c>
      <c r="X119" s="365">
        <v>0.25932912338203945</v>
      </c>
      <c r="Y119" s="399">
        <v>0.25885522937878219</v>
      </c>
      <c r="Z119" s="328">
        <f t="shared" si="78"/>
        <v>8.0114449690672621E-2</v>
      </c>
      <c r="AA119" s="330">
        <f t="shared" si="79"/>
        <v>4.8932682744936548E-2</v>
      </c>
      <c r="AB119" s="1056">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1057">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335">
        <f t="shared" si="86"/>
        <v>0</v>
      </c>
      <c r="AE119" s="1341">
        <f t="shared" si="83"/>
        <v>5.4914007944309465E-2</v>
      </c>
      <c r="AF119" s="1342">
        <f t="shared" si="84"/>
        <v>8.0114449690672621E-2</v>
      </c>
      <c r="AG119" s="1342">
        <f t="shared" si="85"/>
        <v>0.13502845763498209</v>
      </c>
      <c r="AH119" s="1343">
        <f t="shared" si="81"/>
        <v>0.40668470118170696</v>
      </c>
      <c r="AI119" s="1344">
        <f t="shared" si="82"/>
        <v>0.59331529881829304</v>
      </c>
      <c r="AJ119" s="245"/>
      <c r="AK119" s="603"/>
      <c r="AL119" s="603"/>
      <c r="AM119" s="603"/>
    </row>
    <row r="120" spans="1:39" x14ac:dyDescent="0.2">
      <c r="B120" s="245" t="s">
        <v>249</v>
      </c>
      <c r="U120" s="245" t="s">
        <v>249</v>
      </c>
      <c r="AB120"/>
      <c r="AC120"/>
      <c r="AD120"/>
    </row>
    <row r="121" spans="1:39" ht="13.5" thickBot="1" x14ac:dyDescent="0.25"/>
    <row r="122" spans="1:39" ht="15" x14ac:dyDescent="0.25">
      <c r="A122" s="351"/>
      <c r="B122" s="1561" t="s">
        <v>197</v>
      </c>
      <c r="C122" s="1562"/>
      <c r="D122" s="1562"/>
      <c r="E122" s="1562"/>
      <c r="F122" s="1562"/>
      <c r="G122" s="1562"/>
      <c r="H122" s="1562"/>
      <c r="I122" s="1562"/>
      <c r="J122" s="1562"/>
      <c r="K122" s="1562"/>
      <c r="L122" s="1562"/>
      <c r="M122" s="1562"/>
      <c r="N122" s="1563"/>
      <c r="O122" s="1561" t="s">
        <v>198</v>
      </c>
      <c r="P122" s="1562"/>
      <c r="Q122" s="1562"/>
      <c r="R122" s="1562"/>
      <c r="S122" s="1562"/>
      <c r="T122" s="1562"/>
      <c r="U122" s="1562"/>
      <c r="V122" s="1562"/>
      <c r="W122" s="1562"/>
      <c r="X122" s="1562"/>
      <c r="Y122" s="1562"/>
      <c r="Z122" s="1562"/>
      <c r="AA122" s="1563"/>
      <c r="AI122" s="245"/>
      <c r="AJ122" s="245"/>
      <c r="AK122" s="245"/>
      <c r="AL122" s="245"/>
      <c r="AM122" s="245"/>
    </row>
    <row r="123" spans="1:39" x14ac:dyDescent="0.2">
      <c r="A123" s="342"/>
      <c r="B123" s="1558" t="s">
        <v>121</v>
      </c>
      <c r="C123" s="1559"/>
      <c r="D123" s="1559"/>
      <c r="E123" s="1559"/>
      <c r="F123" s="1559"/>
      <c r="G123" s="1559"/>
      <c r="H123" s="1559"/>
      <c r="I123" s="1559"/>
      <c r="J123" s="1559"/>
      <c r="K123" s="1559"/>
      <c r="L123" s="1560"/>
      <c r="M123" s="400"/>
      <c r="N123" s="343"/>
      <c r="O123" s="1558" t="s">
        <v>121</v>
      </c>
      <c r="P123" s="1559"/>
      <c r="Q123" s="1559"/>
      <c r="R123" s="1559"/>
      <c r="S123" s="1559"/>
      <c r="T123" s="1559"/>
      <c r="U123" s="1559"/>
      <c r="V123" s="1559"/>
      <c r="W123" s="1559"/>
      <c r="X123" s="1559"/>
      <c r="Y123" s="1560"/>
      <c r="Z123" s="400"/>
      <c r="AA123" s="343"/>
      <c r="AC123" s="1060" t="s">
        <v>276</v>
      </c>
      <c r="AD123" s="252" t="b">
        <f>INDEX(TECH_OPT_FUEL2_Cls1,MATCH(RIGHT(O122),TECH_OPT_ROWS_Cls1,0))&lt;&gt;"N/A"</f>
        <v>0</v>
      </c>
      <c r="AI123" s="245"/>
      <c r="AJ123" s="245"/>
      <c r="AK123" s="245"/>
      <c r="AL123" s="245"/>
      <c r="AM123" s="245"/>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2"/>
      <c r="AC124" s="1060" t="s">
        <v>277</v>
      </c>
      <c r="AD124" s="252">
        <f>MATCH(RIGHT(O122),TECH_OPT_ROWS_Cls1,0)</f>
        <v>3</v>
      </c>
      <c r="AI124" s="245"/>
      <c r="AJ124" s="245"/>
      <c r="AK124" s="245"/>
      <c r="AL124" s="245"/>
      <c r="AM124" s="245"/>
    </row>
    <row r="125" spans="1:39" ht="14.25" thickTop="1" thickBot="1" x14ac:dyDescent="0.25">
      <c r="A125" s="366" t="s">
        <v>124</v>
      </c>
      <c r="B125" s="358">
        <f t="array" ref="B125:L125">TRANSPOSE(Cls3CentTruckShr)</f>
        <v>0.16490316390132354</v>
      </c>
      <c r="C125" s="359">
        <v>0.14150050624583405</v>
      </c>
      <c r="D125" s="359">
        <v>5.0842757108027201E-2</v>
      </c>
      <c r="E125" s="359">
        <v>1.7493235097392132E-2</v>
      </c>
      <c r="F125" s="359">
        <v>6.5645600537602268E-3</v>
      </c>
      <c r="G125" s="359">
        <v>1.3068268788829179E-4</v>
      </c>
      <c r="H125" s="359">
        <v>2.9863696966199553E-3</v>
      </c>
      <c r="I125" s="359">
        <v>0</v>
      </c>
      <c r="J125" s="359">
        <v>0</v>
      </c>
      <c r="K125" s="359">
        <v>5.0573390409248292E-4</v>
      </c>
      <c r="L125" s="396">
        <v>0</v>
      </c>
      <c r="M125" s="402"/>
      <c r="N125" s="354"/>
      <c r="O125" s="358">
        <f t="array" ref="O125:Y125">TRANSPOSE(Cls3NCentTruckShr)</f>
        <v>0.27324001996593789</v>
      </c>
      <c r="P125" s="359">
        <v>0.25610450783680394</v>
      </c>
      <c r="Q125" s="359">
        <v>4.6572125423937315E-2</v>
      </c>
      <c r="R125" s="359">
        <v>2.2779497082922668E-2</v>
      </c>
      <c r="S125" s="359">
        <v>5.0811779544371336E-3</v>
      </c>
      <c r="T125" s="359">
        <v>2.5955840495899339E-3</v>
      </c>
      <c r="U125" s="359">
        <v>4.3441677754441459E-3</v>
      </c>
      <c r="V125" s="359">
        <v>3.7558983870508854E-3</v>
      </c>
      <c r="W125" s="359">
        <v>4.897828379299261E-4</v>
      </c>
      <c r="X125" s="359">
        <v>0</v>
      </c>
      <c r="Y125" s="1317">
        <v>1.1022999100839563E-4</v>
      </c>
      <c r="Z125" s="1322"/>
      <c r="AA125" s="1324">
        <v>0.76263667822937764</v>
      </c>
      <c r="AI125" s="245"/>
      <c r="AJ125" s="245"/>
      <c r="AK125" s="245"/>
      <c r="AL125" s="245"/>
      <c r="AM125" s="245"/>
    </row>
    <row r="126" spans="1:39" x14ac:dyDescent="0.2">
      <c r="A126" s="349" t="s">
        <v>125</v>
      </c>
      <c r="B126" s="1029">
        <f t="array" ref="B126:L126">TRANSPOSE(Cls3CentVMTShr)</f>
        <v>7.4407503791532936E-2</v>
      </c>
      <c r="C126" s="1030">
        <v>0.15052192967997111</v>
      </c>
      <c r="D126" s="1030">
        <v>8.9028098283245441E-2</v>
      </c>
      <c r="E126" s="1030">
        <v>4.5356257743642811E-2</v>
      </c>
      <c r="F126" s="1030">
        <v>2.1016507050137231E-2</v>
      </c>
      <c r="G126" s="1030">
        <v>4.9007047894213725E-4</v>
      </c>
      <c r="H126" s="1030">
        <v>1.4797621296467818E-2</v>
      </c>
      <c r="I126" s="1030">
        <v>0</v>
      </c>
      <c r="J126" s="1030">
        <v>0</v>
      </c>
      <c r="K126" s="1030">
        <v>3.7103078033661591E-3</v>
      </c>
      <c r="L126" s="1318">
        <v>0</v>
      </c>
      <c r="M126" s="1319"/>
      <c r="N126" s="1320"/>
      <c r="O126" s="1029">
        <f t="array" ref="O126:Y126">TRANSPOSE(Cls3NCentVMTShr)</f>
        <v>0.11481596497083862</v>
      </c>
      <c r="P126" s="1030">
        <v>0.26987209279577573</v>
      </c>
      <c r="Q126" s="1030">
        <v>8.3836105982992667E-2</v>
      </c>
      <c r="R126" s="1030">
        <v>5.9842896537765707E-2</v>
      </c>
      <c r="S126" s="1030">
        <v>1.6413649143963899E-2</v>
      </c>
      <c r="T126" s="1030">
        <v>1.0165768727376887E-2</v>
      </c>
      <c r="U126" s="1030">
        <v>2.0700108148562976E-2</v>
      </c>
      <c r="V126" s="1030">
        <v>2.0956833812228508E-2</v>
      </c>
      <c r="W126" s="1030">
        <v>3.1584958359553582E-3</v>
      </c>
      <c r="X126" s="1030">
        <v>0</v>
      </c>
      <c r="Y126" s="1031">
        <v>9.0978791723388369E-4</v>
      </c>
      <c r="Z126" s="1325">
        <v>0.76961852331138836</v>
      </c>
      <c r="AA126" s="1320"/>
      <c r="AB126" s="1574" t="str">
        <f>"% of miles on f2 for Tech "&amp; RIGHT(O121)&amp;" adopters"</f>
        <v>% of miles on f2 for Tech  adopters</v>
      </c>
      <c r="AC126" s="1575"/>
      <c r="AD126" s="1576"/>
      <c r="AE126" s="1345" t="s">
        <v>307</v>
      </c>
      <c r="AF126" s="1346"/>
      <c r="AG126" s="1346"/>
      <c r="AH126" s="1336" t="s">
        <v>306</v>
      </c>
      <c r="AI126" s="1337"/>
      <c r="AJ126" s="245"/>
      <c r="AK126" s="245"/>
      <c r="AL126" s="245"/>
      <c r="AM126" s="245"/>
    </row>
    <row r="127" spans="1:39" ht="13.5" thickBot="1" x14ac:dyDescent="0.25">
      <c r="A127" s="1048" t="s">
        <v>275</v>
      </c>
      <c r="B127" s="1039">
        <f t="array" ref="B127:L127">TRANSPOSE(Cls3CentVMT/OPDAYS_Cls3)</f>
        <v>49.202805162026571</v>
      </c>
      <c r="C127" s="1040">
        <v>115.99623692884222</v>
      </c>
      <c r="D127" s="1040">
        <v>190.94140758026836</v>
      </c>
      <c r="E127" s="1040">
        <v>282.72824571583544</v>
      </c>
      <c r="F127" s="1040">
        <v>349.10577157713089</v>
      </c>
      <c r="G127" s="1040">
        <v>408.92399999999998</v>
      </c>
      <c r="H127" s="1040">
        <v>540.31926836851005</v>
      </c>
      <c r="I127" s="1040">
        <v>600</v>
      </c>
      <c r="J127" s="1040">
        <v>680</v>
      </c>
      <c r="K127" s="1040">
        <v>800.00000000000011</v>
      </c>
      <c r="L127" s="1041">
        <v>800</v>
      </c>
      <c r="M127" s="1037"/>
      <c r="N127" s="1038"/>
      <c r="O127" s="1039">
        <f t="array" ref="O127:Y127">TRANSPOSE(Cls3NCentVMT/OPDAYS_Cls3)</f>
        <v>45.820527909508108</v>
      </c>
      <c r="P127" s="1040">
        <v>114.90604343518244</v>
      </c>
      <c r="Q127" s="1040">
        <v>196.29405935940918</v>
      </c>
      <c r="R127" s="1040">
        <v>286.46435582159182</v>
      </c>
      <c r="S127" s="1040">
        <v>352.24339419308075</v>
      </c>
      <c r="T127" s="1040">
        <v>427.07804424634116</v>
      </c>
      <c r="U127" s="1040">
        <v>519.59880241076587</v>
      </c>
      <c r="V127" s="1040">
        <v>608.4346682070543</v>
      </c>
      <c r="W127" s="1040">
        <v>703.2</v>
      </c>
      <c r="X127" s="1040">
        <v>760</v>
      </c>
      <c r="Y127" s="1321">
        <v>900</v>
      </c>
      <c r="Z127" s="1049"/>
      <c r="AA127" s="1038"/>
      <c r="AB127" s="1051" t="s">
        <v>188</v>
      </c>
      <c r="AC127" s="1052" t="s">
        <v>15</v>
      </c>
      <c r="AD127" s="1053" t="s">
        <v>18</v>
      </c>
      <c r="AE127" s="348" t="s">
        <v>188</v>
      </c>
      <c r="AF127" s="1347" t="s">
        <v>15</v>
      </c>
      <c r="AG127" s="1347" t="s">
        <v>18</v>
      </c>
      <c r="AH127" s="1348" t="s">
        <v>188</v>
      </c>
      <c r="AI127" s="1349" t="s">
        <v>15</v>
      </c>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SUMPRODUCT(B128:L128,$B$126:$L$126)</f>
        <v>0</v>
      </c>
      <c r="N128" s="987">
        <f>SUMPRODUCT(B128:L128,$B$125:$L$125)</f>
        <v>0</v>
      </c>
      <c r="O128" s="360">
        <v>0</v>
      </c>
      <c r="P128" s="361">
        <v>0</v>
      </c>
      <c r="Q128" s="361">
        <v>0</v>
      </c>
      <c r="R128" s="361">
        <v>0</v>
      </c>
      <c r="S128" s="361">
        <v>0</v>
      </c>
      <c r="T128" s="361">
        <v>0</v>
      </c>
      <c r="U128" s="361">
        <v>0</v>
      </c>
      <c r="V128" s="361">
        <v>0</v>
      </c>
      <c r="W128" s="361">
        <v>0</v>
      </c>
      <c r="X128" s="361">
        <v>0</v>
      </c>
      <c r="Y128" s="397">
        <v>0</v>
      </c>
      <c r="Z128" s="405">
        <f>SUMPRODUCT(O128:Y128,$O$126:$Y$126)</f>
        <v>0</v>
      </c>
      <c r="AA128" s="987">
        <f>SUMPRODUCT(O128:Y128,$O$125:$Y$125)</f>
        <v>0</v>
      </c>
      <c r="AB128" s="1054">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1055">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334">
        <f>AB128*AH128+AC128*AI128</f>
        <v>0</v>
      </c>
      <c r="AE128" s="1338">
        <f t="shared" ref="AE128:AE142" si="87">SUMPRODUCT($B$74:$L$74,B128:L128)</f>
        <v>0</v>
      </c>
      <c r="AF128" s="1339">
        <f t="shared" ref="AF128:AF142" si="88">SUMPRODUCT($O$74:$Y$74,O128:Y128)</f>
        <v>0</v>
      </c>
      <c r="AG128" s="1339">
        <f t="shared" ref="AG128:AG142" si="89">SUM(AE128:AF128)</f>
        <v>0</v>
      </c>
      <c r="AH128" s="1280">
        <f>IF(AG128&gt;0,AE128/AG128,0)</f>
        <v>0</v>
      </c>
      <c r="AI128" s="1340">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0">SUMPRODUCT(B129:L129,$B$126:$L$126)</f>
        <v>0</v>
      </c>
      <c r="N129" s="316">
        <f t="shared" ref="N129:N171" si="91">SUMPRODUCT(B129:L129,$B$125:$L$125)</f>
        <v>0</v>
      </c>
      <c r="O129" s="362">
        <v>0</v>
      </c>
      <c r="P129" s="363">
        <v>0</v>
      </c>
      <c r="Q129" s="363">
        <v>0</v>
      </c>
      <c r="R129" s="363">
        <v>0</v>
      </c>
      <c r="S129" s="363">
        <v>0</v>
      </c>
      <c r="T129" s="363">
        <v>0</v>
      </c>
      <c r="U129" s="363">
        <v>0</v>
      </c>
      <c r="V129" s="363">
        <v>0</v>
      </c>
      <c r="W129" s="363">
        <v>0</v>
      </c>
      <c r="X129" s="363">
        <v>0</v>
      </c>
      <c r="Y129" s="398">
        <v>0</v>
      </c>
      <c r="Z129" s="314">
        <f t="shared" ref="Z129:Z171" si="92">SUMPRODUCT(O129:Y129,$O$126:$Y$126)</f>
        <v>0</v>
      </c>
      <c r="AA129" s="316">
        <f t="shared" ref="AA129:AA171" si="93">SUMPRODUCT(O129:Y129,$O$125:$Y$125)</f>
        <v>0</v>
      </c>
      <c r="AB129" s="1054">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1055">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334">
        <f t="shared" ref="AD129:AD153" si="94">AB129*AH129+AC129*AI129</f>
        <v>0</v>
      </c>
      <c r="AE129" s="1338">
        <f t="shared" si="87"/>
        <v>0</v>
      </c>
      <c r="AF129" s="1339">
        <f t="shared" si="88"/>
        <v>0</v>
      </c>
      <c r="AG129" s="1339">
        <f t="shared" si="89"/>
        <v>0</v>
      </c>
      <c r="AH129" s="1280">
        <f t="shared" ref="AH129:AH171" si="95">IF(AG129&gt;0,AE129/AG129,0)</f>
        <v>0</v>
      </c>
      <c r="AI129" s="1340">
        <f t="shared" ref="AI129:AI171" si="96">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0"/>
        <v>0</v>
      </c>
      <c r="N130" s="316">
        <f t="shared" si="91"/>
        <v>0</v>
      </c>
      <c r="O130" s="362">
        <v>0</v>
      </c>
      <c r="P130" s="363">
        <v>0</v>
      </c>
      <c r="Q130" s="363">
        <v>0</v>
      </c>
      <c r="R130" s="363">
        <v>0</v>
      </c>
      <c r="S130" s="363">
        <v>0</v>
      </c>
      <c r="T130" s="363">
        <v>0</v>
      </c>
      <c r="U130" s="363">
        <v>0</v>
      </c>
      <c r="V130" s="363">
        <v>0</v>
      </c>
      <c r="W130" s="363">
        <v>0</v>
      </c>
      <c r="X130" s="363">
        <v>0</v>
      </c>
      <c r="Y130" s="398">
        <v>0</v>
      </c>
      <c r="Z130" s="314">
        <f t="shared" si="92"/>
        <v>0</v>
      </c>
      <c r="AA130" s="316">
        <f t="shared" si="93"/>
        <v>0</v>
      </c>
      <c r="AB130" s="1054">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1055">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334">
        <f t="shared" si="94"/>
        <v>0</v>
      </c>
      <c r="AE130" s="1338">
        <f t="shared" si="87"/>
        <v>0</v>
      </c>
      <c r="AF130" s="1339">
        <f t="shared" si="88"/>
        <v>0</v>
      </c>
      <c r="AG130" s="1339">
        <f t="shared" si="89"/>
        <v>0</v>
      </c>
      <c r="AH130" s="1280">
        <f t="shared" si="95"/>
        <v>0</v>
      </c>
      <c r="AI130" s="1340">
        <f t="shared" si="96"/>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0"/>
        <v>0</v>
      </c>
      <c r="N131" s="330">
        <f t="shared" si="91"/>
        <v>0</v>
      </c>
      <c r="O131" s="364">
        <v>0</v>
      </c>
      <c r="P131" s="365">
        <v>0</v>
      </c>
      <c r="Q131" s="365">
        <v>0</v>
      </c>
      <c r="R131" s="365">
        <v>0</v>
      </c>
      <c r="S131" s="365">
        <v>0</v>
      </c>
      <c r="T131" s="365">
        <v>0</v>
      </c>
      <c r="U131" s="365">
        <v>0</v>
      </c>
      <c r="V131" s="365">
        <v>0</v>
      </c>
      <c r="W131" s="365">
        <v>0</v>
      </c>
      <c r="X131" s="365">
        <v>0</v>
      </c>
      <c r="Y131" s="399">
        <v>0</v>
      </c>
      <c r="Z131" s="328">
        <f t="shared" si="92"/>
        <v>0</v>
      </c>
      <c r="AA131" s="330">
        <f t="shared" si="93"/>
        <v>0</v>
      </c>
      <c r="AB131" s="1054">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1055">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334">
        <f t="shared" si="94"/>
        <v>0</v>
      </c>
      <c r="AE131" s="1338">
        <f t="shared" si="87"/>
        <v>0</v>
      </c>
      <c r="AF131" s="1339">
        <f t="shared" si="88"/>
        <v>0</v>
      </c>
      <c r="AG131" s="1339">
        <f t="shared" si="89"/>
        <v>0</v>
      </c>
      <c r="AH131" s="1280">
        <f t="shared" si="95"/>
        <v>0</v>
      </c>
      <c r="AI131" s="1340">
        <f t="shared" si="96"/>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0"/>
        <v>0</v>
      </c>
      <c r="N132" s="302">
        <f t="shared" si="91"/>
        <v>0</v>
      </c>
      <c r="O132" s="360">
        <v>0</v>
      </c>
      <c r="P132" s="361">
        <v>0</v>
      </c>
      <c r="Q132" s="361">
        <v>0</v>
      </c>
      <c r="R132" s="361">
        <v>0</v>
      </c>
      <c r="S132" s="361">
        <v>0</v>
      </c>
      <c r="T132" s="361">
        <v>0</v>
      </c>
      <c r="U132" s="361">
        <v>0</v>
      </c>
      <c r="V132" s="361">
        <v>0</v>
      </c>
      <c r="W132" s="361">
        <v>0</v>
      </c>
      <c r="X132" s="361">
        <v>0</v>
      </c>
      <c r="Y132" s="397">
        <v>0</v>
      </c>
      <c r="Z132" s="300">
        <f t="shared" si="92"/>
        <v>0</v>
      </c>
      <c r="AA132" s="302">
        <f t="shared" si="93"/>
        <v>0</v>
      </c>
      <c r="AB132" s="1054">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1055">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334">
        <f t="shared" si="94"/>
        <v>0</v>
      </c>
      <c r="AE132" s="1338">
        <f t="shared" si="87"/>
        <v>0</v>
      </c>
      <c r="AF132" s="1339">
        <f t="shared" si="88"/>
        <v>0</v>
      </c>
      <c r="AG132" s="1339">
        <f t="shared" si="89"/>
        <v>0</v>
      </c>
      <c r="AH132" s="1280">
        <f t="shared" si="95"/>
        <v>0</v>
      </c>
      <c r="AI132" s="1340">
        <f t="shared" si="96"/>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0"/>
        <v>0</v>
      </c>
      <c r="N133" s="316">
        <f t="shared" si="91"/>
        <v>0</v>
      </c>
      <c r="O133" s="362">
        <v>0</v>
      </c>
      <c r="P133" s="363">
        <v>0</v>
      </c>
      <c r="Q133" s="363">
        <v>0</v>
      </c>
      <c r="R133" s="363">
        <v>0</v>
      </c>
      <c r="S133" s="363">
        <v>0</v>
      </c>
      <c r="T133" s="363">
        <v>0</v>
      </c>
      <c r="U133" s="363">
        <v>0</v>
      </c>
      <c r="V133" s="363">
        <v>0</v>
      </c>
      <c r="W133" s="363">
        <v>0</v>
      </c>
      <c r="X133" s="363">
        <v>0</v>
      </c>
      <c r="Y133" s="398">
        <v>0</v>
      </c>
      <c r="Z133" s="314">
        <f t="shared" si="92"/>
        <v>0</v>
      </c>
      <c r="AA133" s="316">
        <f t="shared" si="93"/>
        <v>0</v>
      </c>
      <c r="AB133" s="1054">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1055">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334">
        <f t="shared" si="94"/>
        <v>0</v>
      </c>
      <c r="AE133" s="1338">
        <f t="shared" si="87"/>
        <v>0</v>
      </c>
      <c r="AF133" s="1339">
        <f t="shared" si="88"/>
        <v>0</v>
      </c>
      <c r="AG133" s="1339">
        <f t="shared" si="89"/>
        <v>0</v>
      </c>
      <c r="AH133" s="1280">
        <f t="shared" si="95"/>
        <v>0</v>
      </c>
      <c r="AI133" s="1340">
        <f t="shared" si="96"/>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0"/>
        <v>0</v>
      </c>
      <c r="N134" s="316">
        <f t="shared" si="91"/>
        <v>0</v>
      </c>
      <c r="O134" s="362">
        <v>0</v>
      </c>
      <c r="P134" s="363">
        <v>0</v>
      </c>
      <c r="Q134" s="363">
        <v>0</v>
      </c>
      <c r="R134" s="363">
        <v>0</v>
      </c>
      <c r="S134" s="363">
        <v>0</v>
      </c>
      <c r="T134" s="363">
        <v>0</v>
      </c>
      <c r="U134" s="363">
        <v>0</v>
      </c>
      <c r="V134" s="363">
        <v>0</v>
      </c>
      <c r="W134" s="363">
        <v>0</v>
      </c>
      <c r="X134" s="363">
        <v>0</v>
      </c>
      <c r="Y134" s="398">
        <v>0</v>
      </c>
      <c r="Z134" s="314">
        <f t="shared" si="92"/>
        <v>0</v>
      </c>
      <c r="AA134" s="316">
        <f t="shared" si="93"/>
        <v>0</v>
      </c>
      <c r="AB134" s="1054">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1055">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334">
        <f t="shared" si="94"/>
        <v>0</v>
      </c>
      <c r="AE134" s="1338">
        <f t="shared" si="87"/>
        <v>0</v>
      </c>
      <c r="AF134" s="1339">
        <f t="shared" si="88"/>
        <v>0</v>
      </c>
      <c r="AG134" s="1339">
        <f t="shared" si="89"/>
        <v>0</v>
      </c>
      <c r="AH134" s="1280">
        <f t="shared" si="95"/>
        <v>0</v>
      </c>
      <c r="AI134" s="1340">
        <f t="shared" si="96"/>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0"/>
        <v>0</v>
      </c>
      <c r="N135" s="316">
        <f t="shared" si="91"/>
        <v>0</v>
      </c>
      <c r="O135" s="362">
        <v>0</v>
      </c>
      <c r="P135" s="363">
        <v>0</v>
      </c>
      <c r="Q135" s="363">
        <v>0</v>
      </c>
      <c r="R135" s="363">
        <v>0</v>
      </c>
      <c r="S135" s="363">
        <v>0</v>
      </c>
      <c r="T135" s="363">
        <v>0</v>
      </c>
      <c r="U135" s="363">
        <v>0</v>
      </c>
      <c r="V135" s="363">
        <v>0</v>
      </c>
      <c r="W135" s="363">
        <v>0</v>
      </c>
      <c r="X135" s="363">
        <v>0</v>
      </c>
      <c r="Y135" s="398">
        <v>0</v>
      </c>
      <c r="Z135" s="314">
        <f t="shared" si="92"/>
        <v>0</v>
      </c>
      <c r="AA135" s="316">
        <f t="shared" si="93"/>
        <v>0</v>
      </c>
      <c r="AB135" s="1054">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1055">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334">
        <f t="shared" si="94"/>
        <v>0</v>
      </c>
      <c r="AE135" s="1338">
        <f t="shared" si="87"/>
        <v>0</v>
      </c>
      <c r="AF135" s="1339">
        <f t="shared" si="88"/>
        <v>0</v>
      </c>
      <c r="AG135" s="1339">
        <f t="shared" si="89"/>
        <v>0</v>
      </c>
      <c r="AH135" s="1280">
        <f t="shared" si="95"/>
        <v>0</v>
      </c>
      <c r="AI135" s="1340">
        <f t="shared" si="96"/>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0"/>
        <v>0</v>
      </c>
      <c r="N136" s="330">
        <f t="shared" si="91"/>
        <v>0</v>
      </c>
      <c r="O136" s="364">
        <v>0</v>
      </c>
      <c r="P136" s="365">
        <v>0</v>
      </c>
      <c r="Q136" s="365">
        <v>0</v>
      </c>
      <c r="R136" s="365">
        <v>0</v>
      </c>
      <c r="S136" s="365">
        <v>0</v>
      </c>
      <c r="T136" s="365">
        <v>0</v>
      </c>
      <c r="U136" s="365">
        <v>0</v>
      </c>
      <c r="V136" s="365">
        <v>0</v>
      </c>
      <c r="W136" s="365">
        <v>0</v>
      </c>
      <c r="X136" s="365">
        <v>0</v>
      </c>
      <c r="Y136" s="399">
        <v>0</v>
      </c>
      <c r="Z136" s="328">
        <f t="shared" si="92"/>
        <v>0</v>
      </c>
      <c r="AA136" s="330">
        <f t="shared" si="93"/>
        <v>0</v>
      </c>
      <c r="AB136" s="1054">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1055">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334">
        <f t="shared" si="94"/>
        <v>0</v>
      </c>
      <c r="AE136" s="1338">
        <f t="shared" si="87"/>
        <v>0</v>
      </c>
      <c r="AF136" s="1339">
        <f t="shared" si="88"/>
        <v>0</v>
      </c>
      <c r="AG136" s="1339">
        <f t="shared" si="89"/>
        <v>0</v>
      </c>
      <c r="AH136" s="1280">
        <f t="shared" si="95"/>
        <v>0</v>
      </c>
      <c r="AI136" s="1340">
        <f t="shared" si="96"/>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0"/>
        <v>0</v>
      </c>
      <c r="N137" s="302">
        <f t="shared" si="91"/>
        <v>0</v>
      </c>
      <c r="O137" s="360">
        <v>0</v>
      </c>
      <c r="P137" s="361">
        <v>0</v>
      </c>
      <c r="Q137" s="361">
        <v>0</v>
      </c>
      <c r="R137" s="361">
        <v>0</v>
      </c>
      <c r="S137" s="361">
        <v>0</v>
      </c>
      <c r="T137" s="361">
        <v>0</v>
      </c>
      <c r="U137" s="361">
        <v>0</v>
      </c>
      <c r="V137" s="361">
        <v>0</v>
      </c>
      <c r="W137" s="361">
        <v>0</v>
      </c>
      <c r="X137" s="361">
        <v>0</v>
      </c>
      <c r="Y137" s="397">
        <v>0</v>
      </c>
      <c r="Z137" s="300">
        <f t="shared" si="92"/>
        <v>0</v>
      </c>
      <c r="AA137" s="302">
        <f t="shared" si="93"/>
        <v>0</v>
      </c>
      <c r="AB137" s="1054">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1055">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334">
        <f t="shared" si="94"/>
        <v>0</v>
      </c>
      <c r="AE137" s="1338">
        <f t="shared" si="87"/>
        <v>0</v>
      </c>
      <c r="AF137" s="1339">
        <f t="shared" si="88"/>
        <v>0</v>
      </c>
      <c r="AG137" s="1339">
        <f t="shared" si="89"/>
        <v>0</v>
      </c>
      <c r="AH137" s="1280">
        <f t="shared" si="95"/>
        <v>0</v>
      </c>
      <c r="AI137" s="1340">
        <f t="shared" si="96"/>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0"/>
        <v>0</v>
      </c>
      <c r="N138" s="316">
        <f t="shared" si="91"/>
        <v>0</v>
      </c>
      <c r="O138" s="362">
        <v>0</v>
      </c>
      <c r="P138" s="363">
        <v>0</v>
      </c>
      <c r="Q138" s="363">
        <v>0</v>
      </c>
      <c r="R138" s="363">
        <v>0</v>
      </c>
      <c r="S138" s="363">
        <v>0</v>
      </c>
      <c r="T138" s="363">
        <v>0</v>
      </c>
      <c r="U138" s="363">
        <v>0</v>
      </c>
      <c r="V138" s="363">
        <v>0</v>
      </c>
      <c r="W138" s="363">
        <v>0</v>
      </c>
      <c r="X138" s="363">
        <v>0</v>
      </c>
      <c r="Y138" s="398">
        <v>0</v>
      </c>
      <c r="Z138" s="314">
        <f t="shared" si="92"/>
        <v>0</v>
      </c>
      <c r="AA138" s="316">
        <f t="shared" si="93"/>
        <v>0</v>
      </c>
      <c r="AB138" s="1054">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1055">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334">
        <f t="shared" si="94"/>
        <v>0</v>
      </c>
      <c r="AE138" s="1338">
        <f t="shared" si="87"/>
        <v>0</v>
      </c>
      <c r="AF138" s="1339">
        <f t="shared" si="88"/>
        <v>0</v>
      </c>
      <c r="AG138" s="1339">
        <f t="shared" si="89"/>
        <v>0</v>
      </c>
      <c r="AH138" s="1280">
        <f t="shared" si="95"/>
        <v>0</v>
      </c>
      <c r="AI138" s="1340">
        <f t="shared" si="96"/>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0"/>
        <v>0</v>
      </c>
      <c r="N139" s="316">
        <f t="shared" si="91"/>
        <v>0</v>
      </c>
      <c r="O139" s="362">
        <v>0</v>
      </c>
      <c r="P139" s="363">
        <v>0</v>
      </c>
      <c r="Q139" s="363">
        <v>0</v>
      </c>
      <c r="R139" s="363">
        <v>0</v>
      </c>
      <c r="S139" s="363">
        <v>0</v>
      </c>
      <c r="T139" s="363">
        <v>0</v>
      </c>
      <c r="U139" s="363">
        <v>0</v>
      </c>
      <c r="V139" s="363">
        <v>0</v>
      </c>
      <c r="W139" s="363">
        <v>0</v>
      </c>
      <c r="X139" s="363">
        <v>0</v>
      </c>
      <c r="Y139" s="398">
        <v>0</v>
      </c>
      <c r="Z139" s="314">
        <f t="shared" si="92"/>
        <v>0</v>
      </c>
      <c r="AA139" s="316">
        <f t="shared" si="93"/>
        <v>0</v>
      </c>
      <c r="AB139" s="1054">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1055">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334">
        <f t="shared" si="94"/>
        <v>0</v>
      </c>
      <c r="AE139" s="1338">
        <f t="shared" si="87"/>
        <v>0</v>
      </c>
      <c r="AF139" s="1339">
        <f t="shared" si="88"/>
        <v>0</v>
      </c>
      <c r="AG139" s="1339">
        <f t="shared" si="89"/>
        <v>0</v>
      </c>
      <c r="AH139" s="1280">
        <f t="shared" si="95"/>
        <v>0</v>
      </c>
      <c r="AI139" s="1340">
        <f t="shared" si="96"/>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0"/>
        <v>0</v>
      </c>
      <c r="N140" s="316">
        <f t="shared" si="91"/>
        <v>0</v>
      </c>
      <c r="O140" s="362">
        <v>0</v>
      </c>
      <c r="P140" s="363">
        <v>0</v>
      </c>
      <c r="Q140" s="363">
        <v>0</v>
      </c>
      <c r="R140" s="363">
        <v>0</v>
      </c>
      <c r="S140" s="363">
        <v>0</v>
      </c>
      <c r="T140" s="363">
        <v>0</v>
      </c>
      <c r="U140" s="363">
        <v>0</v>
      </c>
      <c r="V140" s="363">
        <v>0</v>
      </c>
      <c r="W140" s="363">
        <v>0</v>
      </c>
      <c r="X140" s="363">
        <v>0</v>
      </c>
      <c r="Y140" s="398">
        <v>0</v>
      </c>
      <c r="Z140" s="314">
        <f t="shared" si="92"/>
        <v>0</v>
      </c>
      <c r="AA140" s="316">
        <f t="shared" si="93"/>
        <v>0</v>
      </c>
      <c r="AB140" s="1054">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1055">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334">
        <f t="shared" si="94"/>
        <v>0</v>
      </c>
      <c r="AE140" s="1338">
        <f t="shared" si="87"/>
        <v>0</v>
      </c>
      <c r="AF140" s="1339">
        <f t="shared" si="88"/>
        <v>0</v>
      </c>
      <c r="AG140" s="1339">
        <f t="shared" si="89"/>
        <v>0</v>
      </c>
      <c r="AH140" s="1280">
        <f t="shared" si="95"/>
        <v>0</v>
      </c>
      <c r="AI140" s="1340">
        <f t="shared" si="96"/>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0"/>
        <v>0</v>
      </c>
      <c r="N141" s="330">
        <f t="shared" si="91"/>
        <v>0</v>
      </c>
      <c r="O141" s="364">
        <v>0</v>
      </c>
      <c r="P141" s="365">
        <v>0</v>
      </c>
      <c r="Q141" s="365">
        <v>0</v>
      </c>
      <c r="R141" s="365">
        <v>0</v>
      </c>
      <c r="S141" s="365">
        <v>0</v>
      </c>
      <c r="T141" s="365">
        <v>0</v>
      </c>
      <c r="U141" s="365">
        <v>0</v>
      </c>
      <c r="V141" s="365">
        <v>0</v>
      </c>
      <c r="W141" s="365">
        <v>0</v>
      </c>
      <c r="X141" s="365">
        <v>0</v>
      </c>
      <c r="Y141" s="399">
        <v>0</v>
      </c>
      <c r="Z141" s="328">
        <f t="shared" si="92"/>
        <v>0</v>
      </c>
      <c r="AA141" s="330">
        <f t="shared" si="93"/>
        <v>0</v>
      </c>
      <c r="AB141" s="1054">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1055">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334">
        <f t="shared" si="94"/>
        <v>0</v>
      </c>
      <c r="AE141" s="1338">
        <f t="shared" si="87"/>
        <v>0</v>
      </c>
      <c r="AF141" s="1339">
        <f t="shared" si="88"/>
        <v>0</v>
      </c>
      <c r="AG141" s="1339">
        <f t="shared" si="89"/>
        <v>0</v>
      </c>
      <c r="AH141" s="1280">
        <f t="shared" si="95"/>
        <v>0</v>
      </c>
      <c r="AI141" s="1340">
        <f t="shared" si="96"/>
        <v>0</v>
      </c>
      <c r="AJ141" s="245"/>
      <c r="AK141" s="245"/>
      <c r="AL141" s="245"/>
      <c r="AM141" s="245"/>
    </row>
    <row r="142" spans="1:39" x14ac:dyDescent="0.2">
      <c r="A142" s="347">
        <v>2021</v>
      </c>
      <c r="B142" s="360">
        <v>0</v>
      </c>
      <c r="C142" s="361">
        <v>0</v>
      </c>
      <c r="D142" s="361">
        <v>0</v>
      </c>
      <c r="E142" s="361">
        <v>0</v>
      </c>
      <c r="F142" s="361">
        <v>0</v>
      </c>
      <c r="G142" s="361">
        <v>0</v>
      </c>
      <c r="H142" s="361">
        <v>0</v>
      </c>
      <c r="I142" s="361">
        <v>0</v>
      </c>
      <c r="J142" s="361">
        <v>0</v>
      </c>
      <c r="K142" s="361">
        <v>0</v>
      </c>
      <c r="L142" s="397">
        <v>0</v>
      </c>
      <c r="M142" s="300">
        <f t="shared" si="90"/>
        <v>0</v>
      </c>
      <c r="N142" s="302">
        <f t="shared" si="91"/>
        <v>0</v>
      </c>
      <c r="O142" s="360">
        <v>0</v>
      </c>
      <c r="P142" s="361">
        <v>0</v>
      </c>
      <c r="Q142" s="361">
        <v>0</v>
      </c>
      <c r="R142" s="361">
        <v>0</v>
      </c>
      <c r="S142" s="361">
        <v>0</v>
      </c>
      <c r="T142" s="361">
        <v>0</v>
      </c>
      <c r="U142" s="361">
        <v>0</v>
      </c>
      <c r="V142" s="361">
        <v>0</v>
      </c>
      <c r="W142" s="361">
        <v>0</v>
      </c>
      <c r="X142" s="361">
        <v>0</v>
      </c>
      <c r="Y142" s="397">
        <v>0</v>
      </c>
      <c r="Z142" s="300">
        <f t="shared" si="92"/>
        <v>0</v>
      </c>
      <c r="AA142" s="302">
        <f t="shared" si="93"/>
        <v>0</v>
      </c>
      <c r="AB142" s="1054">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1055">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334">
        <f t="shared" si="94"/>
        <v>0</v>
      </c>
      <c r="AE142" s="1338">
        <f t="shared" si="87"/>
        <v>0</v>
      </c>
      <c r="AF142" s="1339">
        <f t="shared" si="88"/>
        <v>0</v>
      </c>
      <c r="AG142" s="1339">
        <f t="shared" si="89"/>
        <v>0</v>
      </c>
      <c r="AH142" s="1280">
        <f t="shared" si="95"/>
        <v>0</v>
      </c>
      <c r="AI142" s="1340">
        <f t="shared" si="96"/>
        <v>0</v>
      </c>
      <c r="AJ142" s="245"/>
      <c r="AK142" s="245"/>
      <c r="AL142" s="245"/>
      <c r="AM142" s="245"/>
    </row>
    <row r="143" spans="1:39" x14ac:dyDescent="0.2">
      <c r="A143" s="348">
        <v>2022</v>
      </c>
      <c r="B143" s="362">
        <v>1.1724727470236661E-2</v>
      </c>
      <c r="C143" s="363">
        <v>1.1724727470236661E-2</v>
      </c>
      <c r="D143" s="363">
        <v>2.3180099366453499E-2</v>
      </c>
      <c r="E143" s="363">
        <v>2.1572454526044536E-2</v>
      </c>
      <c r="F143" s="363">
        <v>1.9772003443661822E-2</v>
      </c>
      <c r="G143" s="363">
        <v>1.8742326421033725E-2</v>
      </c>
      <c r="H143" s="363">
        <v>1.736922831194538E-2</v>
      </c>
      <c r="I143" s="363">
        <v>1.6934873771353477E-2</v>
      </c>
      <c r="J143" s="363">
        <v>1.6579722050724895E-2</v>
      </c>
      <c r="K143" s="363">
        <v>1.6325666547008316E-2</v>
      </c>
      <c r="L143" s="398">
        <v>1.6325666547008316E-2</v>
      </c>
      <c r="M143" s="314">
        <f t="shared" si="90"/>
        <v>6.4216823011576957E-3</v>
      </c>
      <c r="N143" s="316">
        <f t="shared" si="91"/>
        <v>5.3407828905833897E-3</v>
      </c>
      <c r="O143" s="362">
        <v>1.1724727470236661E-2</v>
      </c>
      <c r="P143" s="363">
        <v>1.1725226240535512E-2</v>
      </c>
      <c r="Q143" s="363">
        <v>2.3092353321900339E-2</v>
      </c>
      <c r="R143" s="363">
        <v>2.1379202170245463E-2</v>
      </c>
      <c r="S143" s="363">
        <v>1.9425012978213581E-2</v>
      </c>
      <c r="T143" s="363">
        <v>1.8353991026858835E-2</v>
      </c>
      <c r="U143" s="363">
        <v>1.736922831194538E-2</v>
      </c>
      <c r="V143" s="363">
        <v>1.6774103394114354E-2</v>
      </c>
      <c r="W143" s="363">
        <v>1.6447624865286566E-2</v>
      </c>
      <c r="X143" s="363">
        <v>1.6442175542456076E-2</v>
      </c>
      <c r="Y143" s="398">
        <v>1.6225641580887417E-2</v>
      </c>
      <c r="Z143" s="314">
        <f t="shared" si="92"/>
        <v>9.0090700312248171E-3</v>
      </c>
      <c r="AA143" s="316">
        <f t="shared" si="93"/>
        <v>8.0636577729576546E-3</v>
      </c>
      <c r="AB143" s="1054">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1055">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334">
        <f t="shared" si="94"/>
        <v>0</v>
      </c>
      <c r="AE143" s="1338">
        <f>SUMPRODUCT($B$74:$L$74,B143:L143)</f>
        <v>6.4216823011576957E-3</v>
      </c>
      <c r="AF143" s="1339">
        <f>SUMPRODUCT($O$74:$Y$74,O143:Y143)</f>
        <v>9.0090700312248171E-3</v>
      </c>
      <c r="AG143" s="1339">
        <f>SUM(AE143:AF143)</f>
        <v>1.5430752332382513E-2</v>
      </c>
      <c r="AH143" s="1280">
        <f t="shared" si="95"/>
        <v>0.41616132271667317</v>
      </c>
      <c r="AI143" s="1340">
        <f t="shared" si="96"/>
        <v>0.58383867728332683</v>
      </c>
      <c r="AJ143" s="245"/>
      <c r="AK143" s="245"/>
      <c r="AL143" s="245"/>
      <c r="AM143" s="245"/>
    </row>
    <row r="144" spans="1:39" x14ac:dyDescent="0.2">
      <c r="A144" s="348">
        <v>2023</v>
      </c>
      <c r="B144" s="362">
        <v>2.7265266398469313E-2</v>
      </c>
      <c r="C144" s="363">
        <v>2.7256542168514343E-2</v>
      </c>
      <c r="D144" s="363">
        <v>5.3806125064324917E-2</v>
      </c>
      <c r="E144" s="363">
        <v>4.9098096997031097E-2</v>
      </c>
      <c r="F144" s="363">
        <v>4.6388976239690571E-2</v>
      </c>
      <c r="G144" s="363">
        <v>4.5652292377009171E-2</v>
      </c>
      <c r="H144" s="363">
        <v>4.2869001600679031E-2</v>
      </c>
      <c r="I144" s="363">
        <v>4.1847516232842517E-2</v>
      </c>
      <c r="J144" s="363">
        <v>4.1336245528760709E-2</v>
      </c>
      <c r="K144" s="363">
        <v>4.0674741106490025E-2</v>
      </c>
      <c r="L144" s="398">
        <v>4.0674741106490025E-2</v>
      </c>
      <c r="M144" s="314">
        <f t="shared" si="90"/>
        <v>1.4931192816468517E-2</v>
      </c>
      <c r="N144" s="316">
        <f t="shared" si="91"/>
        <v>1.2406561977805321E-2</v>
      </c>
      <c r="O144" s="362">
        <v>2.7265266398469313E-2</v>
      </c>
      <c r="P144" s="363">
        <v>2.7245699487861149E-2</v>
      </c>
      <c r="Q144" s="363">
        <v>5.3614942838812039E-2</v>
      </c>
      <c r="R144" s="363">
        <v>4.8787051130431219E-2</v>
      </c>
      <c r="S144" s="363">
        <v>4.6418599175736236E-2</v>
      </c>
      <c r="T144" s="363">
        <v>4.4724180007088943E-2</v>
      </c>
      <c r="U144" s="363">
        <v>4.2629523338373138E-2</v>
      </c>
      <c r="V144" s="363">
        <v>4.1670533702508041E-2</v>
      </c>
      <c r="W144" s="363">
        <v>4.0926778922223309E-2</v>
      </c>
      <c r="X144" s="363">
        <v>4.0674741106490025E-2</v>
      </c>
      <c r="Y144" s="398">
        <v>4.045730192600433E-2</v>
      </c>
      <c r="Z144" s="314">
        <f t="shared" si="92"/>
        <v>2.1036115384944817E-2</v>
      </c>
      <c r="AA144" s="316">
        <f t="shared" si="93"/>
        <v>1.8754166189409234E-2</v>
      </c>
      <c r="AB144" s="1054">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1055">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334">
        <f t="shared" si="94"/>
        <v>0</v>
      </c>
      <c r="AE144" s="1338">
        <f t="shared" ref="AE144:AE171" si="97">SUMPRODUCT($B$74:$L$74,B144:L144)</f>
        <v>1.4931192816468517E-2</v>
      </c>
      <c r="AF144" s="1339">
        <f t="shared" ref="AF144:AF171" si="98">SUMPRODUCT($O$74:$Y$74,O144:Y144)</f>
        <v>2.1036115384944817E-2</v>
      </c>
      <c r="AG144" s="1339">
        <f t="shared" ref="AG144:AG171" si="99">SUM(AE144:AF144)</f>
        <v>3.5967308201413334E-2</v>
      </c>
      <c r="AH144" s="1280">
        <f t="shared" si="95"/>
        <v>0.41513233998094407</v>
      </c>
      <c r="AI144" s="1340">
        <f t="shared" si="96"/>
        <v>0.58486766001905599</v>
      </c>
      <c r="AJ144" s="245"/>
      <c r="AK144" s="245"/>
      <c r="AL144" s="245"/>
      <c r="AM144" s="245"/>
    </row>
    <row r="145" spans="1:39" x14ac:dyDescent="0.2">
      <c r="A145" s="348">
        <v>2024</v>
      </c>
      <c r="B145" s="362">
        <v>4.594827315039024E-2</v>
      </c>
      <c r="C145" s="363">
        <v>4.885070307255264E-2</v>
      </c>
      <c r="D145" s="363">
        <v>0.10420338779799911</v>
      </c>
      <c r="E145" s="363">
        <v>0.1060707922581763</v>
      </c>
      <c r="F145" s="363">
        <v>0.10026546833605261</v>
      </c>
      <c r="G145" s="363">
        <v>9.707204431144234E-2</v>
      </c>
      <c r="H145" s="363">
        <v>9.4130053862517382E-2</v>
      </c>
      <c r="I145" s="363">
        <v>9.336028793586458E-2</v>
      </c>
      <c r="J145" s="363">
        <v>9.1730338167748962E-2</v>
      </c>
      <c r="K145" s="363">
        <v>9.1008674492076086E-2</v>
      </c>
      <c r="L145" s="398">
        <v>9.1008674492076086E-2</v>
      </c>
      <c r="M145" s="314">
        <f t="shared" si="90"/>
        <v>2.8745375194650782E-2</v>
      </c>
      <c r="N145" s="316">
        <f t="shared" si="91"/>
        <v>2.2640941311652087E-2</v>
      </c>
      <c r="O145" s="362">
        <v>4.594827315039024E-2</v>
      </c>
      <c r="P145" s="363">
        <v>5.0731636445481572E-2</v>
      </c>
      <c r="Q145" s="363">
        <v>0.10879039893571618</v>
      </c>
      <c r="R145" s="363">
        <v>0.10298229075927608</v>
      </c>
      <c r="S145" s="363">
        <v>9.7879235202361525E-2</v>
      </c>
      <c r="T145" s="363">
        <v>9.7051623584729671E-2</v>
      </c>
      <c r="U145" s="363">
        <v>9.4130053862517382E-2</v>
      </c>
      <c r="V145" s="363">
        <v>9.2302628361325134E-2</v>
      </c>
      <c r="W145" s="363">
        <v>9.1008674492076086E-2</v>
      </c>
      <c r="X145" s="363">
        <v>9.1008674492076086E-2</v>
      </c>
      <c r="Y145" s="398">
        <v>9.0382137990598244E-2</v>
      </c>
      <c r="Z145" s="314">
        <f t="shared" si="92"/>
        <v>4.109568222478939E-2</v>
      </c>
      <c r="AA145" s="316">
        <f t="shared" si="93"/>
        <v>3.4519373559807644E-2</v>
      </c>
      <c r="AB145" s="1054">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1055">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334">
        <f t="shared" si="94"/>
        <v>0</v>
      </c>
      <c r="AE145" s="1338">
        <f t="shared" si="97"/>
        <v>2.8745375194650782E-2</v>
      </c>
      <c r="AF145" s="1339">
        <f t="shared" si="98"/>
        <v>4.109568222478939E-2</v>
      </c>
      <c r="AG145" s="1339">
        <f t="shared" si="99"/>
        <v>6.9841057419440175E-2</v>
      </c>
      <c r="AH145" s="1280">
        <f t="shared" si="95"/>
        <v>0.41158276029551555</v>
      </c>
      <c r="AI145" s="1340">
        <f t="shared" si="96"/>
        <v>0.58841723970448445</v>
      </c>
      <c r="AJ145" s="245"/>
      <c r="AK145" s="245"/>
      <c r="AL145" s="245"/>
      <c r="AM145" s="245"/>
    </row>
    <row r="146" spans="1:39" ht="13.5" thickBot="1" x14ac:dyDescent="0.25">
      <c r="A146" s="346">
        <v>2025</v>
      </c>
      <c r="B146" s="364">
        <v>2.495710909531201E-2</v>
      </c>
      <c r="C146" s="365">
        <v>9.3154278100801916E-2</v>
      </c>
      <c r="D146" s="365">
        <v>0.17083093257176057</v>
      </c>
      <c r="E146" s="365">
        <v>0.18042621793754995</v>
      </c>
      <c r="F146" s="365">
        <v>0.17752944836230206</v>
      </c>
      <c r="G146" s="365">
        <v>0.17595819856531586</v>
      </c>
      <c r="H146" s="365">
        <v>0.17173195514363987</v>
      </c>
      <c r="I146" s="365">
        <v>0.17066265688568732</v>
      </c>
      <c r="J146" s="365">
        <v>0.16908274168216397</v>
      </c>
      <c r="K146" s="365">
        <v>0.16795050922554305</v>
      </c>
      <c r="L146" s="399">
        <v>0.16795050922554305</v>
      </c>
      <c r="M146" s="328">
        <f t="shared" si="90"/>
        <v>4.6252622330050293E-2</v>
      </c>
      <c r="N146" s="330">
        <f t="shared" si="91"/>
        <v>3.0924828410211772E-2</v>
      </c>
      <c r="O146" s="364">
        <v>2.495710909531201E-2</v>
      </c>
      <c r="P146" s="365">
        <v>0.10222996092625175</v>
      </c>
      <c r="Q146" s="365">
        <v>0.18199789289582335</v>
      </c>
      <c r="R146" s="365">
        <v>0.18283220733097089</v>
      </c>
      <c r="S146" s="365">
        <v>0.17893407800295838</v>
      </c>
      <c r="T146" s="365">
        <v>0.17618969368801296</v>
      </c>
      <c r="U146" s="365">
        <v>0.17173195514363987</v>
      </c>
      <c r="V146" s="365">
        <v>0.17066265688568732</v>
      </c>
      <c r="W146" s="365">
        <v>0.16841032275935081</v>
      </c>
      <c r="X146" s="365">
        <v>0.16794518496136265</v>
      </c>
      <c r="Y146" s="399">
        <v>0.16727850291105104</v>
      </c>
      <c r="Z146" s="328">
        <f t="shared" si="92"/>
        <v>6.9197286670524827E-2</v>
      </c>
      <c r="AA146" s="330">
        <f t="shared" si="93"/>
        <v>4.849614791313555E-2</v>
      </c>
      <c r="AB146" s="1054">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1055">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334">
        <f t="shared" si="94"/>
        <v>0</v>
      </c>
      <c r="AE146" s="1338">
        <f t="shared" si="97"/>
        <v>4.6252622330050293E-2</v>
      </c>
      <c r="AF146" s="1339">
        <f t="shared" si="98"/>
        <v>6.9197286670524827E-2</v>
      </c>
      <c r="AG146" s="1339">
        <f t="shared" si="99"/>
        <v>0.11544990900057511</v>
      </c>
      <c r="AH146" s="1280">
        <f t="shared" si="95"/>
        <v>0.40062935285483753</v>
      </c>
      <c r="AI146" s="1340">
        <f t="shared" si="96"/>
        <v>0.59937064714516253</v>
      </c>
      <c r="AJ146" s="245"/>
      <c r="AK146" s="245"/>
      <c r="AL146" s="245"/>
      <c r="AM146" s="245"/>
    </row>
    <row r="147" spans="1:39" x14ac:dyDescent="0.2">
      <c r="A147" s="347">
        <v>2026</v>
      </c>
      <c r="B147" s="360">
        <v>2.5242419634509069E-2</v>
      </c>
      <c r="C147" s="361">
        <v>0.17752657118742432</v>
      </c>
      <c r="D147" s="361">
        <v>0.24857105698114837</v>
      </c>
      <c r="E147" s="361">
        <v>0.26713863029715795</v>
      </c>
      <c r="F147" s="361">
        <v>0.25861221624357272</v>
      </c>
      <c r="G147" s="361">
        <v>0.25228384479780319</v>
      </c>
      <c r="H147" s="361">
        <v>0.24955302220465994</v>
      </c>
      <c r="I147" s="361">
        <v>0.24831298206751579</v>
      </c>
      <c r="J147" s="361">
        <v>0.24635474152912407</v>
      </c>
      <c r="K147" s="361">
        <v>0.2444054204395662</v>
      </c>
      <c r="L147" s="397">
        <v>0.2444054204395662</v>
      </c>
      <c r="M147" s="300">
        <f t="shared" si="90"/>
        <v>7.3004457344791121E-2</v>
      </c>
      <c r="N147" s="302">
        <f t="shared" si="91"/>
        <v>4.9193317540712815E-2</v>
      </c>
      <c r="O147" s="360">
        <v>2.5242419634509069E-2</v>
      </c>
      <c r="P147" s="361">
        <v>0.19092211741203027</v>
      </c>
      <c r="Q147" s="361">
        <v>0.2635488140636254</v>
      </c>
      <c r="R147" s="361">
        <v>0.25636751922541245</v>
      </c>
      <c r="S147" s="361">
        <v>0.2531246788305761</v>
      </c>
      <c r="T147" s="361">
        <v>0.25311009343415858</v>
      </c>
      <c r="U147" s="361">
        <v>0.24955302220465994</v>
      </c>
      <c r="V147" s="361">
        <v>0.24703154440542144</v>
      </c>
      <c r="W147" s="361">
        <v>0.24528237915635173</v>
      </c>
      <c r="X147" s="361">
        <v>0.2442530088483634</v>
      </c>
      <c r="Y147" s="397">
        <v>0.24215301431105415</v>
      </c>
      <c r="Z147" s="300">
        <f t="shared" si="92"/>
        <v>0.10992502856278089</v>
      </c>
      <c r="AA147" s="302">
        <f t="shared" si="93"/>
        <v>7.8009099000105442E-2</v>
      </c>
      <c r="AB147" s="1054">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1055">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334">
        <f t="shared" si="94"/>
        <v>0</v>
      </c>
      <c r="AE147" s="1338">
        <f t="shared" si="97"/>
        <v>7.3004457344791121E-2</v>
      </c>
      <c r="AF147" s="1339">
        <f t="shared" si="98"/>
        <v>0.10992502856278089</v>
      </c>
      <c r="AG147" s="1339">
        <f t="shared" si="99"/>
        <v>0.18292948590757202</v>
      </c>
      <c r="AH147" s="1280">
        <f t="shared" si="95"/>
        <v>0.39908523758535985</v>
      </c>
      <c r="AI147" s="1340">
        <f t="shared" si="96"/>
        <v>0.60091476241464004</v>
      </c>
      <c r="AJ147" s="245"/>
      <c r="AK147" s="245"/>
      <c r="AL147" s="245"/>
      <c r="AM147" s="245"/>
    </row>
    <row r="148" spans="1:39" x14ac:dyDescent="0.2">
      <c r="A148" s="348">
        <v>2027</v>
      </c>
      <c r="B148" s="362">
        <v>1.7077083656995701E-2</v>
      </c>
      <c r="C148" s="363">
        <v>0.2127246530752849</v>
      </c>
      <c r="D148" s="363">
        <v>0.31132554564795412</v>
      </c>
      <c r="E148" s="363">
        <v>0.30474479171750596</v>
      </c>
      <c r="F148" s="363">
        <v>0.3014685360636441</v>
      </c>
      <c r="G148" s="363">
        <v>0.3047289745485891</v>
      </c>
      <c r="H148" s="363">
        <v>0.29894986462669465</v>
      </c>
      <c r="I148" s="363">
        <v>0.29733829317270882</v>
      </c>
      <c r="J148" s="363">
        <v>0.29478859156442017</v>
      </c>
      <c r="K148" s="363">
        <v>0.29103915785003021</v>
      </c>
      <c r="L148" s="398">
        <v>0.29103915785003021</v>
      </c>
      <c r="M148" s="314">
        <f t="shared" si="90"/>
        <v>8.6817939063466465E-2</v>
      </c>
      <c r="N148" s="316">
        <f t="shared" si="91"/>
        <v>5.7135126908345012E-2</v>
      </c>
      <c r="O148" s="362">
        <v>1.7077083656995701E-2</v>
      </c>
      <c r="P148" s="363">
        <v>0.24643069650512464</v>
      </c>
      <c r="Q148" s="363">
        <v>0.30851326042969235</v>
      </c>
      <c r="R148" s="363">
        <v>0.30861983375247198</v>
      </c>
      <c r="S148" s="363">
        <v>0.3067885026408807</v>
      </c>
      <c r="T148" s="363">
        <v>0.30022501821689102</v>
      </c>
      <c r="U148" s="363">
        <v>0.29892686678496577</v>
      </c>
      <c r="V148" s="363">
        <v>0.29494793042553458</v>
      </c>
      <c r="W148" s="363">
        <v>0.29206238321810002</v>
      </c>
      <c r="X148" s="363">
        <v>0.29017278167807925</v>
      </c>
      <c r="Y148" s="398">
        <v>0.28364572734746635</v>
      </c>
      <c r="Z148" s="314">
        <f t="shared" si="92"/>
        <v>0.134435810267231</v>
      </c>
      <c r="AA148" s="316">
        <f t="shared" si="93"/>
        <v>9.4095280357895675E-2</v>
      </c>
      <c r="AB148" s="1054">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1055">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334">
        <f t="shared" si="94"/>
        <v>0</v>
      </c>
      <c r="AE148" s="1338">
        <f t="shared" si="97"/>
        <v>8.6817939063466465E-2</v>
      </c>
      <c r="AF148" s="1339">
        <f t="shared" si="98"/>
        <v>0.134435810267231</v>
      </c>
      <c r="AG148" s="1339">
        <f t="shared" si="99"/>
        <v>0.22125374933069747</v>
      </c>
      <c r="AH148" s="1280">
        <f t="shared" si="95"/>
        <v>0.39239081518887081</v>
      </c>
      <c r="AI148" s="1340">
        <f t="shared" si="96"/>
        <v>0.60760918481112913</v>
      </c>
      <c r="AJ148" s="245"/>
      <c r="AK148" s="245"/>
      <c r="AL148" s="245"/>
      <c r="AM148" s="245"/>
    </row>
    <row r="149" spans="1:39" x14ac:dyDescent="0.2">
      <c r="A149" s="348">
        <v>2028</v>
      </c>
      <c r="B149" s="362">
        <v>1.0807366166846532E-2</v>
      </c>
      <c r="C149" s="363">
        <v>0.25054175382403654</v>
      </c>
      <c r="D149" s="363">
        <v>0.31376758618682987</v>
      </c>
      <c r="E149" s="363">
        <v>0.33353561202949439</v>
      </c>
      <c r="F149" s="363">
        <v>0.32824815178102634</v>
      </c>
      <c r="G149" s="363">
        <v>0.32445171438179327</v>
      </c>
      <c r="H149" s="363">
        <v>0.32103489844914451</v>
      </c>
      <c r="I149" s="363">
        <v>0.31770394489299775</v>
      </c>
      <c r="J149" s="363">
        <v>0.31293449395857514</v>
      </c>
      <c r="K149" s="363">
        <v>0.30501154510130274</v>
      </c>
      <c r="L149" s="398">
        <v>0.30501154510130274</v>
      </c>
      <c r="M149" s="314">
        <f t="shared" si="90"/>
        <v>9.4518109446333251E-2</v>
      </c>
      <c r="N149" s="316">
        <f t="shared" si="91"/>
        <v>6.2331568422437984E-2</v>
      </c>
      <c r="O149" s="362">
        <v>1.0807366166846532E-2</v>
      </c>
      <c r="P149" s="363">
        <v>0.26194041550408942</v>
      </c>
      <c r="Q149" s="363">
        <v>0.33581495604329736</v>
      </c>
      <c r="R149" s="363">
        <v>0.32587622294621549</v>
      </c>
      <c r="S149" s="363">
        <v>0.32570122483231384</v>
      </c>
      <c r="T149" s="363">
        <v>0.32466333807521458</v>
      </c>
      <c r="U149" s="363">
        <v>0.32050331057650772</v>
      </c>
      <c r="V149" s="363">
        <v>0.31504945612034319</v>
      </c>
      <c r="W149" s="363">
        <v>0.30842852837256068</v>
      </c>
      <c r="X149" s="363">
        <v>0.30384690618875732</v>
      </c>
      <c r="Y149" s="398">
        <v>0.29396197598867718</v>
      </c>
      <c r="Z149" s="314">
        <f t="shared" si="92"/>
        <v>0.14271096523570764</v>
      </c>
      <c r="AA149" s="316">
        <f t="shared" si="93"/>
        <v>9.8356756053384675E-2</v>
      </c>
      <c r="AB149" s="1054">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1055">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334">
        <f t="shared" si="94"/>
        <v>0</v>
      </c>
      <c r="AE149" s="1338">
        <f t="shared" si="97"/>
        <v>9.4518109446333251E-2</v>
      </c>
      <c r="AF149" s="1339">
        <f t="shared" si="98"/>
        <v>0.14271096523570764</v>
      </c>
      <c r="AG149" s="1339">
        <f t="shared" si="99"/>
        <v>0.23722907468204091</v>
      </c>
      <c r="AH149" s="1280">
        <f t="shared" si="95"/>
        <v>0.39842548630692193</v>
      </c>
      <c r="AI149" s="1340">
        <f t="shared" si="96"/>
        <v>0.60157451369307802</v>
      </c>
      <c r="AJ149" s="245"/>
      <c r="AK149" s="245"/>
      <c r="AL149" s="245"/>
      <c r="AM149" s="245"/>
    </row>
    <row r="150" spans="1:39" x14ac:dyDescent="0.2">
      <c r="A150" s="348">
        <v>2029</v>
      </c>
      <c r="B150" s="362">
        <v>4.492807556593848E-3</v>
      </c>
      <c r="C150" s="363">
        <v>0.25589273757228409</v>
      </c>
      <c r="D150" s="363">
        <v>0.32694028126633895</v>
      </c>
      <c r="E150" s="363">
        <v>0.33571086489630292</v>
      </c>
      <c r="F150" s="363">
        <v>0.33245553453889365</v>
      </c>
      <c r="G150" s="363">
        <v>0.33614343654346829</v>
      </c>
      <c r="H150" s="363">
        <v>0.32471973971659968</v>
      </c>
      <c r="I150" s="363">
        <v>0.31864274081564425</v>
      </c>
      <c r="J150" s="363">
        <v>0.308769209846603</v>
      </c>
      <c r="K150" s="363">
        <v>0.29826201891996051</v>
      </c>
      <c r="L150" s="398">
        <v>0.29826201891996051</v>
      </c>
      <c r="M150" s="314">
        <f t="shared" si="90"/>
        <v>9.6248738947176268E-2</v>
      </c>
      <c r="N150" s="316">
        <f t="shared" si="91"/>
        <v>6.2791971340971003E-2</v>
      </c>
      <c r="O150" s="362">
        <v>4.492807556593848E-3</v>
      </c>
      <c r="P150" s="363">
        <v>0.25943264875112859</v>
      </c>
      <c r="Q150" s="363">
        <v>0.32473165210847799</v>
      </c>
      <c r="R150" s="363">
        <v>0.33928997803023453</v>
      </c>
      <c r="S150" s="363">
        <v>0.33919174232242433</v>
      </c>
      <c r="T150" s="363">
        <v>0.33098288571687168</v>
      </c>
      <c r="U150" s="363">
        <v>0.32259480509593708</v>
      </c>
      <c r="V150" s="363">
        <v>0.31165524615985363</v>
      </c>
      <c r="W150" s="363">
        <v>0.30188423292079047</v>
      </c>
      <c r="X150" s="363">
        <v>0.29638854181484897</v>
      </c>
      <c r="Y150" s="398">
        <v>0.2867352201054173</v>
      </c>
      <c r="Z150" s="314">
        <f t="shared" si="92"/>
        <v>0.14141330275219741</v>
      </c>
      <c r="AA150" s="316">
        <f t="shared" si="93"/>
        <v>9.585578738011731E-2</v>
      </c>
      <c r="AB150" s="1054">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1055">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334">
        <f t="shared" si="94"/>
        <v>0</v>
      </c>
      <c r="AE150" s="1338">
        <f t="shared" si="97"/>
        <v>9.6248738947176268E-2</v>
      </c>
      <c r="AF150" s="1339">
        <f t="shared" si="98"/>
        <v>0.14141330275219741</v>
      </c>
      <c r="AG150" s="1339">
        <f t="shared" si="99"/>
        <v>0.23766204169937366</v>
      </c>
      <c r="AH150" s="1280">
        <f t="shared" si="95"/>
        <v>0.40498153705556561</v>
      </c>
      <c r="AI150" s="1340">
        <f t="shared" si="96"/>
        <v>0.5950184629444345</v>
      </c>
      <c r="AJ150" s="245"/>
      <c r="AK150" s="245"/>
      <c r="AL150" s="245"/>
      <c r="AM150" s="245"/>
    </row>
    <row r="151" spans="1:39" ht="13.5" thickBot="1" x14ac:dyDescent="0.25">
      <c r="A151" s="346">
        <v>2030</v>
      </c>
      <c r="B151" s="364">
        <v>3.3624683081735179E-3</v>
      </c>
      <c r="C151" s="365">
        <v>0.2622834585329305</v>
      </c>
      <c r="D151" s="365">
        <v>0.33866319317981047</v>
      </c>
      <c r="E151" s="365">
        <v>0.34295001185971324</v>
      </c>
      <c r="F151" s="365">
        <v>0.33584741624255848</v>
      </c>
      <c r="G151" s="365">
        <v>0.33572012298003834</v>
      </c>
      <c r="H151" s="365">
        <v>0.31594007546134478</v>
      </c>
      <c r="I151" s="365">
        <v>0.30748893685427081</v>
      </c>
      <c r="J151" s="365">
        <v>0.29694782119511304</v>
      </c>
      <c r="K151" s="365">
        <v>0.28614020721897487</v>
      </c>
      <c r="L151" s="399">
        <v>0.28614020721897487</v>
      </c>
      <c r="M151" s="328">
        <f t="shared" si="90"/>
        <v>9.8394770298774373E-2</v>
      </c>
      <c r="N151" s="330">
        <f t="shared" si="91"/>
        <v>6.4222387493532984E-2</v>
      </c>
      <c r="O151" s="364">
        <v>2.4203861517364672E-3</v>
      </c>
      <c r="P151" s="365">
        <v>0.27181974400127706</v>
      </c>
      <c r="Q151" s="365">
        <v>0.3407244015332675</v>
      </c>
      <c r="R151" s="365">
        <v>0.33921621920430184</v>
      </c>
      <c r="S151" s="365">
        <v>0.33644681237984347</v>
      </c>
      <c r="T151" s="365">
        <v>0.32821784140612004</v>
      </c>
      <c r="U151" s="365">
        <v>0.31125538139498088</v>
      </c>
      <c r="V151" s="365">
        <v>0.29900097131949271</v>
      </c>
      <c r="W151" s="365">
        <v>0.29036221805495044</v>
      </c>
      <c r="X151" s="365">
        <v>0.28614020721897487</v>
      </c>
      <c r="Y151" s="399">
        <v>0.27805740020525727</v>
      </c>
      <c r="Z151" s="328">
        <f t="shared" si="92"/>
        <v>0.14523727174008685</v>
      </c>
      <c r="AA151" s="330">
        <f t="shared" si="93"/>
        <v>9.9080533236702503E-2</v>
      </c>
      <c r="AB151" s="1054">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1055">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334">
        <f t="shared" si="94"/>
        <v>0</v>
      </c>
      <c r="AE151" s="1338">
        <f t="shared" si="97"/>
        <v>9.8394770298774373E-2</v>
      </c>
      <c r="AF151" s="1339">
        <f t="shared" si="98"/>
        <v>0.14523727174008685</v>
      </c>
      <c r="AG151" s="1339">
        <f t="shared" si="99"/>
        <v>0.24363204203886124</v>
      </c>
      <c r="AH151" s="1280">
        <f t="shared" si="95"/>
        <v>0.40386629556337106</v>
      </c>
      <c r="AI151" s="1340">
        <f t="shared" si="96"/>
        <v>0.59613370443662894</v>
      </c>
      <c r="AJ151" s="245"/>
      <c r="AK151" s="245"/>
      <c r="AL151" s="245"/>
      <c r="AM151" s="245"/>
    </row>
    <row r="152" spans="1:39" x14ac:dyDescent="0.2">
      <c r="A152" s="347">
        <v>2031</v>
      </c>
      <c r="B152" s="360">
        <v>3.9677554780111852E-3</v>
      </c>
      <c r="C152" s="361">
        <v>0.25927220075769764</v>
      </c>
      <c r="D152" s="361">
        <v>0.33498934277740122</v>
      </c>
      <c r="E152" s="361">
        <v>0.34456293095519813</v>
      </c>
      <c r="F152" s="361">
        <v>0.34323882124408606</v>
      </c>
      <c r="G152" s="361">
        <v>0.33316189664289075</v>
      </c>
      <c r="H152" s="361">
        <v>0.30843983824038673</v>
      </c>
      <c r="I152" s="361">
        <v>0.29944308293382094</v>
      </c>
      <c r="J152" s="361">
        <v>0.29082110123355648</v>
      </c>
      <c r="K152" s="361">
        <v>0.28194838971595182</v>
      </c>
      <c r="L152" s="397">
        <v>0.28194838971595182</v>
      </c>
      <c r="M152" s="300">
        <f t="shared" si="90"/>
        <v>9.7760177135475579E-2</v>
      </c>
      <c r="N152" s="302">
        <f t="shared" si="91"/>
        <v>6.3761201833280462E-2</v>
      </c>
      <c r="O152" s="360">
        <v>2.8678660605378544E-3</v>
      </c>
      <c r="P152" s="361">
        <v>0.26633420309211897</v>
      </c>
      <c r="Q152" s="361">
        <v>0.33729070464279909</v>
      </c>
      <c r="R152" s="361">
        <v>0.34050586567875762</v>
      </c>
      <c r="S152" s="361">
        <v>0.33477066732072047</v>
      </c>
      <c r="T152" s="361">
        <v>0.32149504595355288</v>
      </c>
      <c r="U152" s="361">
        <v>0.30453620085225552</v>
      </c>
      <c r="V152" s="361">
        <v>0.29300404577914152</v>
      </c>
      <c r="W152" s="361">
        <v>0.28405675847471545</v>
      </c>
      <c r="X152" s="361">
        <v>0.27988846081491475</v>
      </c>
      <c r="Y152" s="397">
        <v>0.27412749568038225</v>
      </c>
      <c r="Z152" s="300">
        <f t="shared" si="92"/>
        <v>0.14321345405246272</v>
      </c>
      <c r="AA152" s="302">
        <f t="shared" si="93"/>
        <v>9.75861928752597E-2</v>
      </c>
      <c r="AB152" s="1054">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1055">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334">
        <f t="shared" si="94"/>
        <v>0</v>
      </c>
      <c r="AE152" s="1338">
        <f t="shared" si="97"/>
        <v>9.7760177135475579E-2</v>
      </c>
      <c r="AF152" s="1339">
        <f t="shared" si="98"/>
        <v>0.14321345405246272</v>
      </c>
      <c r="AG152" s="1339">
        <f t="shared" si="99"/>
        <v>0.2409736311879383</v>
      </c>
      <c r="AH152" s="1280">
        <f t="shared" si="95"/>
        <v>0.40568827657010825</v>
      </c>
      <c r="AI152" s="1340">
        <f t="shared" si="96"/>
        <v>0.59431172342989169</v>
      </c>
      <c r="AJ152" s="245"/>
      <c r="AK152" s="245"/>
      <c r="AL152" s="245"/>
      <c r="AM152" s="245"/>
    </row>
    <row r="153" spans="1:39" x14ac:dyDescent="0.2">
      <c r="A153" s="348">
        <v>2032</v>
      </c>
      <c r="B153" s="362">
        <v>4.6598468127844782E-3</v>
      </c>
      <c r="C153" s="363">
        <v>0.27795661556960488</v>
      </c>
      <c r="D153" s="363">
        <v>0.33565528781914794</v>
      </c>
      <c r="E153" s="363">
        <v>0.34507949985960318</v>
      </c>
      <c r="F153" s="363">
        <v>0.34083924112730823</v>
      </c>
      <c r="G153" s="363">
        <v>0.32643759590360755</v>
      </c>
      <c r="H153" s="363">
        <v>0.3000752315079861</v>
      </c>
      <c r="I153" s="363">
        <v>0.29026928969615823</v>
      </c>
      <c r="J153" s="363">
        <v>0.28360445518564642</v>
      </c>
      <c r="K153" s="363">
        <v>0.27506353736213246</v>
      </c>
      <c r="L153" s="398">
        <v>0.27506353736213246</v>
      </c>
      <c r="M153" s="314">
        <f t="shared" si="90"/>
        <v>0.10050375817166071</v>
      </c>
      <c r="N153" s="316">
        <f t="shared" si="91"/>
        <v>6.6516986333373926E-2</v>
      </c>
      <c r="O153" s="362">
        <v>3.3820404197545447E-3</v>
      </c>
      <c r="P153" s="363">
        <v>0.28724178696744723</v>
      </c>
      <c r="Q153" s="363">
        <v>0.33796080391655209</v>
      </c>
      <c r="R153" s="363">
        <v>0.33695560027633825</v>
      </c>
      <c r="S153" s="363">
        <v>0.32962023240723831</v>
      </c>
      <c r="T153" s="363">
        <v>0.3119542692828422</v>
      </c>
      <c r="U153" s="363">
        <v>0.29566486275480436</v>
      </c>
      <c r="V153" s="363">
        <v>0.28580517104903336</v>
      </c>
      <c r="W153" s="363">
        <v>0.27703221940028616</v>
      </c>
      <c r="X153" s="363">
        <v>0.27506353736213246</v>
      </c>
      <c r="Y153" s="398">
        <v>0.26974788644956582</v>
      </c>
      <c r="Z153" s="314">
        <f t="shared" si="92"/>
        <v>0.1482163817088995</v>
      </c>
      <c r="AA153" s="316">
        <f t="shared" si="93"/>
        <v>0.10291111280280144</v>
      </c>
      <c r="AB153" s="1054">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1055">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334">
        <f t="shared" si="94"/>
        <v>0</v>
      </c>
      <c r="AE153" s="1338">
        <f t="shared" si="97"/>
        <v>0.10050375817166071</v>
      </c>
      <c r="AF153" s="1339">
        <f t="shared" si="98"/>
        <v>0.1482163817088995</v>
      </c>
      <c r="AG153" s="1339">
        <f t="shared" si="99"/>
        <v>0.24872013988056021</v>
      </c>
      <c r="AH153" s="1280">
        <f t="shared" si="95"/>
        <v>0.40408371521471637</v>
      </c>
      <c r="AI153" s="1340">
        <f t="shared" si="96"/>
        <v>0.59591628478528369</v>
      </c>
      <c r="AJ153" s="245"/>
      <c r="AK153" s="245"/>
      <c r="AL153" s="245"/>
      <c r="AM153" s="245"/>
    </row>
    <row r="154" spans="1:39" x14ac:dyDescent="0.2">
      <c r="A154" s="348">
        <v>2033</v>
      </c>
      <c r="B154" s="362">
        <v>5.4559235164552446E-3</v>
      </c>
      <c r="C154" s="363">
        <v>0.27818607982442023</v>
      </c>
      <c r="D154" s="363">
        <v>0.33599402389706262</v>
      </c>
      <c r="E154" s="363">
        <v>0.3406747792175196</v>
      </c>
      <c r="F154" s="363">
        <v>0.33286547972336727</v>
      </c>
      <c r="G154" s="363">
        <v>0.31843596394792006</v>
      </c>
      <c r="H154" s="363">
        <v>0.29037137848758432</v>
      </c>
      <c r="I154" s="363">
        <v>0.2826655971750327</v>
      </c>
      <c r="J154" s="363">
        <v>0.27620787535439162</v>
      </c>
      <c r="K154" s="363">
        <v>0.27022602055234518</v>
      </c>
      <c r="L154" s="398">
        <v>0.27022602055234518</v>
      </c>
      <c r="M154" s="314">
        <f t="shared" si="90"/>
        <v>0.10009486244369277</v>
      </c>
      <c r="N154" s="316">
        <f t="shared" si="91"/>
        <v>6.6536084971917014E-2</v>
      </c>
      <c r="O154" s="362">
        <v>3.9762566750253664E-3</v>
      </c>
      <c r="P154" s="363">
        <v>0.2874868133878995</v>
      </c>
      <c r="Q154" s="363">
        <v>0.33339535979947921</v>
      </c>
      <c r="R154" s="363">
        <v>0.33039020780868733</v>
      </c>
      <c r="S154" s="363">
        <v>0.32138182584373332</v>
      </c>
      <c r="T154" s="363">
        <v>0.30324985463736498</v>
      </c>
      <c r="U154" s="363">
        <v>0.28806779728328397</v>
      </c>
      <c r="V154" s="363">
        <v>0.27829916508354724</v>
      </c>
      <c r="W154" s="363">
        <v>0.27203719782729391</v>
      </c>
      <c r="X154" s="363">
        <v>0.27022602055234518</v>
      </c>
      <c r="Y154" s="398">
        <v>0.26555756603802921</v>
      </c>
      <c r="Z154" s="314">
        <f t="shared" si="92"/>
        <v>0.14701723122026286</v>
      </c>
      <c r="AA154" s="316">
        <f t="shared" si="93"/>
        <v>0.10264549311331518</v>
      </c>
      <c r="AB154" s="1054">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1055">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334">
        <f>AB154*AH154+AC154*AI154</f>
        <v>0</v>
      </c>
      <c r="AE154" s="1338">
        <f t="shared" si="97"/>
        <v>0.10009486244369277</v>
      </c>
      <c r="AF154" s="1339">
        <f t="shared" si="98"/>
        <v>0.14701723122026286</v>
      </c>
      <c r="AG154" s="1339">
        <f t="shared" si="99"/>
        <v>0.24711209366395565</v>
      </c>
      <c r="AH154" s="1280">
        <f t="shared" si="95"/>
        <v>0.40505853420436155</v>
      </c>
      <c r="AI154" s="1340">
        <f t="shared" si="96"/>
        <v>0.59494146579563845</v>
      </c>
      <c r="AJ154" s="245"/>
      <c r="AK154" s="245"/>
      <c r="AL154" s="245"/>
      <c r="AM154" s="245"/>
    </row>
    <row r="155" spans="1:39" x14ac:dyDescent="0.2">
      <c r="A155" s="348">
        <v>2034</v>
      </c>
      <c r="B155" s="362">
        <v>5.457080317682818E-3</v>
      </c>
      <c r="C155" s="363">
        <v>0.27831610644733767</v>
      </c>
      <c r="D155" s="363">
        <v>0.3362143017974053</v>
      </c>
      <c r="E155" s="363">
        <v>0.33789130918066096</v>
      </c>
      <c r="F155" s="363">
        <v>0.32479371699950765</v>
      </c>
      <c r="G155" s="363">
        <v>0.30775011945307312</v>
      </c>
      <c r="H155" s="363">
        <v>0.28252753009945863</v>
      </c>
      <c r="I155" s="363">
        <v>0.27723403313563083</v>
      </c>
      <c r="J155" s="363">
        <v>0.27109918908606151</v>
      </c>
      <c r="K155" s="363">
        <v>0.26571002469645538</v>
      </c>
      <c r="L155" s="398">
        <v>0.26571002469645538</v>
      </c>
      <c r="M155" s="314">
        <f t="shared" si="90"/>
        <v>9.9700180406982669E-2</v>
      </c>
      <c r="N155" s="316">
        <f t="shared" si="91"/>
        <v>6.643708965574209E-2</v>
      </c>
      <c r="O155" s="362">
        <v>3.9770997474381188E-3</v>
      </c>
      <c r="P155" s="363">
        <v>0.28762928555008987</v>
      </c>
      <c r="Q155" s="363">
        <v>0.33355577851643259</v>
      </c>
      <c r="R155" s="363">
        <v>0.32431899915041917</v>
      </c>
      <c r="S155" s="363">
        <v>0.3135763884905346</v>
      </c>
      <c r="T155" s="363">
        <v>0.29565190679635023</v>
      </c>
      <c r="U155" s="363">
        <v>0.28026108590259174</v>
      </c>
      <c r="V155" s="363">
        <v>0.27305396973922441</v>
      </c>
      <c r="W155" s="363">
        <v>0.267297570741304</v>
      </c>
      <c r="X155" s="363">
        <v>0.26571002469645538</v>
      </c>
      <c r="Y155" s="398">
        <v>0.26299300482196447</v>
      </c>
      <c r="Z155" s="314">
        <f t="shared" si="92"/>
        <v>0.14621172700105509</v>
      </c>
      <c r="AA155" s="316">
        <f t="shared" si="93"/>
        <v>0.10243578310536179</v>
      </c>
      <c r="AB155" s="1054">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1055">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334">
        <f t="shared" ref="AD155:AD171" si="100">AB155*AH155+AC155*AI155</f>
        <v>0</v>
      </c>
      <c r="AE155" s="1338">
        <f t="shared" si="97"/>
        <v>9.9700180406982669E-2</v>
      </c>
      <c r="AF155" s="1339">
        <f t="shared" si="98"/>
        <v>0.14621172700105509</v>
      </c>
      <c r="AG155" s="1339">
        <f t="shared" si="99"/>
        <v>0.24591190740803776</v>
      </c>
      <c r="AH155" s="1280">
        <f t="shared" si="95"/>
        <v>0.40543047084560946</v>
      </c>
      <c r="AI155" s="1340">
        <f t="shared" si="96"/>
        <v>0.59456952915439054</v>
      </c>
      <c r="AJ155" s="245"/>
      <c r="AK155" s="245"/>
      <c r="AL155" s="245"/>
      <c r="AM155" s="245"/>
    </row>
    <row r="156" spans="1:39" ht="13.5" thickBot="1" x14ac:dyDescent="0.25">
      <c r="A156" s="346">
        <v>2035</v>
      </c>
      <c r="B156" s="364">
        <v>5.4575060045064265E-3</v>
      </c>
      <c r="C156" s="365">
        <v>0.27400900790538429</v>
      </c>
      <c r="D156" s="365">
        <v>0.33115000415755586</v>
      </c>
      <c r="E156" s="365">
        <v>0.33140645108066313</v>
      </c>
      <c r="F156" s="365">
        <v>0.31285623125531808</v>
      </c>
      <c r="G156" s="365">
        <v>0.29758988062065739</v>
      </c>
      <c r="H156" s="365">
        <v>0.27483071999345049</v>
      </c>
      <c r="I156" s="365">
        <v>0.26996456460405549</v>
      </c>
      <c r="J156" s="365">
        <v>0.26610773521822506</v>
      </c>
      <c r="K156" s="365">
        <v>0.26303342057679868</v>
      </c>
      <c r="L156" s="399">
        <v>0.26303342057679868</v>
      </c>
      <c r="M156" s="328">
        <f t="shared" si="90"/>
        <v>9.7927216621283772E-2</v>
      </c>
      <c r="N156" s="330">
        <f t="shared" si="91"/>
        <v>6.5352747947275719E-2</v>
      </c>
      <c r="O156" s="364">
        <v>3.9774099864047646E-3</v>
      </c>
      <c r="P156" s="365">
        <v>0.28773523273584234</v>
      </c>
      <c r="Q156" s="365">
        <v>0.33297711061363799</v>
      </c>
      <c r="R156" s="365">
        <v>0.31522278021868111</v>
      </c>
      <c r="S156" s="365">
        <v>0.30170558745888365</v>
      </c>
      <c r="T156" s="365">
        <v>0.28518083819983969</v>
      </c>
      <c r="U156" s="365">
        <v>0.27483071999345049</v>
      </c>
      <c r="V156" s="365">
        <v>0.26808783242087902</v>
      </c>
      <c r="W156" s="365">
        <v>0.26449518326397942</v>
      </c>
      <c r="X156" s="365">
        <v>0.26303342057679868</v>
      </c>
      <c r="Y156" s="399">
        <v>0.26061815196329952</v>
      </c>
      <c r="Z156" s="328">
        <f t="shared" si="92"/>
        <v>0.14511871221558112</v>
      </c>
      <c r="AA156" s="330">
        <f t="shared" si="93"/>
        <v>0.10209747107998726</v>
      </c>
      <c r="AB156" s="1054">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1055">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334">
        <f t="shared" si="100"/>
        <v>0</v>
      </c>
      <c r="AE156" s="1338">
        <f t="shared" si="97"/>
        <v>9.7927216621283772E-2</v>
      </c>
      <c r="AF156" s="1339">
        <f t="shared" si="98"/>
        <v>0.14511871221558112</v>
      </c>
      <c r="AG156" s="1339">
        <f t="shared" si="99"/>
        <v>0.24304592883686488</v>
      </c>
      <c r="AH156" s="1280">
        <f t="shared" si="95"/>
        <v>0.40291650672747376</v>
      </c>
      <c r="AI156" s="1340">
        <f t="shared" si="96"/>
        <v>0.5970834932725263</v>
      </c>
      <c r="AJ156" s="245"/>
      <c r="AK156" s="245"/>
      <c r="AL156" s="245"/>
      <c r="AM156" s="245"/>
    </row>
    <row r="157" spans="1:39" x14ac:dyDescent="0.2">
      <c r="A157" s="347">
        <v>2036</v>
      </c>
      <c r="B157" s="360">
        <v>6.3730775178681004E-3</v>
      </c>
      <c r="C157" s="361">
        <v>0.27153878964891243</v>
      </c>
      <c r="D157" s="361">
        <v>0.33126833735540873</v>
      </c>
      <c r="E157" s="361">
        <v>0.33112761845942934</v>
      </c>
      <c r="F157" s="361">
        <v>0.31124441922481649</v>
      </c>
      <c r="G157" s="361">
        <v>0.29528387178530363</v>
      </c>
      <c r="H157" s="361">
        <v>0.27498507537570593</v>
      </c>
      <c r="I157" s="361">
        <v>0.2701154433263005</v>
      </c>
      <c r="J157" s="361">
        <v>0.26648268048984852</v>
      </c>
      <c r="K157" s="361">
        <v>0.26188018260621365</v>
      </c>
      <c r="L157" s="397">
        <v>0.26188018260621365</v>
      </c>
      <c r="M157" s="300">
        <f t="shared" si="90"/>
        <v>9.7584408627666763E-2</v>
      </c>
      <c r="N157" s="302">
        <f t="shared" si="91"/>
        <v>6.5144325692611055E-2</v>
      </c>
      <c r="O157" s="360">
        <v>4.6640181460197482E-3</v>
      </c>
      <c r="P157" s="361">
        <v>0.28091535318809796</v>
      </c>
      <c r="Q157" s="361">
        <v>0.33733889729358052</v>
      </c>
      <c r="R157" s="361">
        <v>0.3227462209484051</v>
      </c>
      <c r="S157" s="361">
        <v>0.29942725044535073</v>
      </c>
      <c r="T157" s="361">
        <v>0.28454755842179447</v>
      </c>
      <c r="U157" s="361">
        <v>0.27288670360439615</v>
      </c>
      <c r="V157" s="361">
        <v>0.26648268048984852</v>
      </c>
      <c r="W157" s="361">
        <v>0.26317847878875789</v>
      </c>
      <c r="X157" s="361">
        <v>0.26188018260621365</v>
      </c>
      <c r="Y157" s="397">
        <v>0.25983677100941815</v>
      </c>
      <c r="Z157" s="300">
        <f t="shared" si="92"/>
        <v>0.14405036677494515</v>
      </c>
      <c r="AA157" s="302">
        <f t="shared" si="93"/>
        <v>0.10088457056616704</v>
      </c>
      <c r="AB157" s="1054">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1055">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334">
        <f t="shared" si="100"/>
        <v>0</v>
      </c>
      <c r="AE157" s="1338">
        <f t="shared" si="97"/>
        <v>9.7584408627666763E-2</v>
      </c>
      <c r="AF157" s="1339">
        <f t="shared" si="98"/>
        <v>0.14405036677494515</v>
      </c>
      <c r="AG157" s="1339">
        <f t="shared" si="99"/>
        <v>0.24163477540261191</v>
      </c>
      <c r="AH157" s="1280">
        <f t="shared" si="95"/>
        <v>0.40385084665512899</v>
      </c>
      <c r="AI157" s="1340">
        <f t="shared" si="96"/>
        <v>0.59614915334487095</v>
      </c>
      <c r="AJ157" s="245"/>
      <c r="AK157" s="245"/>
      <c r="AL157" s="245"/>
      <c r="AM157" s="245"/>
    </row>
    <row r="158" spans="1:39" x14ac:dyDescent="0.2">
      <c r="A158" s="348">
        <v>2037</v>
      </c>
      <c r="B158" s="362">
        <v>6.3731448011469004E-3</v>
      </c>
      <c r="C158" s="363">
        <v>0.27850297383243794</v>
      </c>
      <c r="D158" s="363">
        <v>0.33124644988870167</v>
      </c>
      <c r="E158" s="363">
        <v>0.3311338168914687</v>
      </c>
      <c r="F158" s="363">
        <v>0.30892471695411972</v>
      </c>
      <c r="G158" s="363">
        <v>0.29529443460446131</v>
      </c>
      <c r="H158" s="363">
        <v>0.2749972611410299</v>
      </c>
      <c r="I158" s="363">
        <v>0.27012799939012488</v>
      </c>
      <c r="J158" s="363">
        <v>0.26487902861747298</v>
      </c>
      <c r="K158" s="363">
        <v>0.26189351811560618</v>
      </c>
      <c r="L158" s="398">
        <v>0.26189351811560618</v>
      </c>
      <c r="M158" s="314">
        <f t="shared" si="90"/>
        <v>9.8582491550727167E-2</v>
      </c>
      <c r="N158" s="316">
        <f t="shared" si="91"/>
        <v>6.6113584677804399E-2</v>
      </c>
      <c r="O158" s="362">
        <v>4.6640673860348526E-3</v>
      </c>
      <c r="P158" s="363">
        <v>0.28091831893046881</v>
      </c>
      <c r="Q158" s="363">
        <v>0.33710377946333653</v>
      </c>
      <c r="R158" s="363">
        <v>0.32253004175631983</v>
      </c>
      <c r="S158" s="363">
        <v>0.29943724692631879</v>
      </c>
      <c r="T158" s="363">
        <v>0.28455918658968843</v>
      </c>
      <c r="U158" s="363">
        <v>0.2728991147126319</v>
      </c>
      <c r="V158" s="363">
        <v>0.26649560778711362</v>
      </c>
      <c r="W158" s="363">
        <v>0.26319168957479039</v>
      </c>
      <c r="X158" s="363">
        <v>0.26189351811560618</v>
      </c>
      <c r="Y158" s="398">
        <v>0.25985029900988149</v>
      </c>
      <c r="Z158" s="314">
        <f t="shared" si="92"/>
        <v>0.14401938879554887</v>
      </c>
      <c r="AA158" s="316">
        <f t="shared" si="93"/>
        <v>0.10086966057708986</v>
      </c>
      <c r="AB158" s="1054">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1055">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334">
        <f t="shared" si="100"/>
        <v>0</v>
      </c>
      <c r="AE158" s="1338">
        <f t="shared" si="97"/>
        <v>9.8582491550727167E-2</v>
      </c>
      <c r="AF158" s="1339">
        <f t="shared" si="98"/>
        <v>0.14401938879554887</v>
      </c>
      <c r="AG158" s="1339">
        <f t="shared" si="99"/>
        <v>0.24260188034627606</v>
      </c>
      <c r="AH158" s="1280">
        <f t="shared" si="95"/>
        <v>0.40635501839481275</v>
      </c>
      <c r="AI158" s="1340">
        <f t="shared" si="96"/>
        <v>0.59364498160518719</v>
      </c>
      <c r="AJ158" s="245"/>
      <c r="AK158" s="245"/>
      <c r="AL158" s="245"/>
      <c r="AM158" s="245"/>
    </row>
    <row r="159" spans="1:39" x14ac:dyDescent="0.2">
      <c r="A159" s="348">
        <v>2038</v>
      </c>
      <c r="B159" s="362">
        <v>7.4266166416489974E-3</v>
      </c>
      <c r="C159" s="363">
        <v>0.27154271103255512</v>
      </c>
      <c r="D159" s="363">
        <v>0.33104904715563449</v>
      </c>
      <c r="E159" s="363">
        <v>0.32288316213049334</v>
      </c>
      <c r="F159" s="363">
        <v>0.30654141904508092</v>
      </c>
      <c r="G159" s="363">
        <v>0.29281954727770809</v>
      </c>
      <c r="H159" s="363">
        <v>0.27290970974707957</v>
      </c>
      <c r="I159" s="363">
        <v>0.26826073651166005</v>
      </c>
      <c r="J159" s="363">
        <v>0.26489035433193242</v>
      </c>
      <c r="K159" s="363">
        <v>0.26190511166853947</v>
      </c>
      <c r="L159" s="398">
        <v>0.26190511166853947</v>
      </c>
      <c r="M159" s="314">
        <f t="shared" si="90"/>
        <v>9.7139263113321897E-2</v>
      </c>
      <c r="N159" s="316">
        <f t="shared" si="91"/>
        <v>6.512586060079753E-2</v>
      </c>
      <c r="O159" s="362">
        <v>5.4577414386022399E-3</v>
      </c>
      <c r="P159" s="363">
        <v>0.28091940998187093</v>
      </c>
      <c r="Q159" s="363">
        <v>0.33055403827557178</v>
      </c>
      <c r="R159" s="363">
        <v>0.31677559213683132</v>
      </c>
      <c r="S159" s="363">
        <v>0.29446138951740553</v>
      </c>
      <c r="T159" s="363">
        <v>0.282214191212457</v>
      </c>
      <c r="U159" s="363">
        <v>0.27090940536587982</v>
      </c>
      <c r="V159" s="363">
        <v>0.26650676211784335</v>
      </c>
      <c r="W159" s="363">
        <v>0.26320314965034647</v>
      </c>
      <c r="X159" s="363">
        <v>0.26190511166853947</v>
      </c>
      <c r="Y159" s="398">
        <v>0.2598620988307378</v>
      </c>
      <c r="Z159" s="314">
        <f t="shared" si="92"/>
        <v>0.14307092479685929</v>
      </c>
      <c r="AA159" s="316">
        <f t="shared" si="93"/>
        <v>0.10061072000521085</v>
      </c>
      <c r="AB159" s="1054">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1055">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334">
        <f t="shared" si="100"/>
        <v>0</v>
      </c>
      <c r="AE159" s="1338">
        <f t="shared" si="97"/>
        <v>9.7139263113321897E-2</v>
      </c>
      <c r="AF159" s="1339">
        <f t="shared" si="98"/>
        <v>0.14307092479685929</v>
      </c>
      <c r="AG159" s="1339">
        <f t="shared" si="99"/>
        <v>0.24021018791018117</v>
      </c>
      <c r="AH159" s="1280">
        <f t="shared" si="95"/>
        <v>0.40439276934267243</v>
      </c>
      <c r="AI159" s="1340">
        <f t="shared" si="96"/>
        <v>0.59560723065732768</v>
      </c>
      <c r="AJ159" s="245"/>
      <c r="AK159" s="245"/>
      <c r="AL159" s="245"/>
      <c r="AM159" s="245"/>
    </row>
    <row r="160" spans="1:39" x14ac:dyDescent="0.2">
      <c r="A160" s="348">
        <v>2039</v>
      </c>
      <c r="B160" s="362">
        <v>7.4266272527951397E-3</v>
      </c>
      <c r="C160" s="363">
        <v>0.29245604066395137</v>
      </c>
      <c r="D160" s="363">
        <v>0.33032048615059328</v>
      </c>
      <c r="E160" s="363">
        <v>0.31847877231905747</v>
      </c>
      <c r="F160" s="363">
        <v>0.2994525139317244</v>
      </c>
      <c r="G160" s="363">
        <v>0.2903491600398006</v>
      </c>
      <c r="H160" s="363">
        <v>0.27091955759028691</v>
      </c>
      <c r="I160" s="363">
        <v>0.26827104146356073</v>
      </c>
      <c r="J160" s="363">
        <v>0.26490102819417538</v>
      </c>
      <c r="K160" s="363">
        <v>0.26191606068860251</v>
      </c>
      <c r="L160" s="398">
        <v>0.26191606068860251</v>
      </c>
      <c r="M160" s="314">
        <f t="shared" si="90"/>
        <v>9.984294601291531E-2</v>
      </c>
      <c r="N160" s="316">
        <f t="shared" si="91"/>
        <v>6.79182238311095E-2</v>
      </c>
      <c r="O160" s="362">
        <v>5.4577492366204763E-3</v>
      </c>
      <c r="P160" s="363">
        <v>0.28091981135938338</v>
      </c>
      <c r="Q160" s="363">
        <v>0.32814916362587054</v>
      </c>
      <c r="R160" s="363">
        <v>0.30642226789263793</v>
      </c>
      <c r="S160" s="363">
        <v>0.29196009413144075</v>
      </c>
      <c r="T160" s="363">
        <v>0.27992706644158849</v>
      </c>
      <c r="U160" s="363">
        <v>0.27091955759028691</v>
      </c>
      <c r="V160" s="363">
        <v>0.26490102819417538</v>
      </c>
      <c r="W160" s="363">
        <v>0.26191606068860251</v>
      </c>
      <c r="X160" s="363">
        <v>0.26079728716607314</v>
      </c>
      <c r="Y160" s="398">
        <v>0.25987325912788467</v>
      </c>
      <c r="Z160" s="314">
        <f t="shared" si="92"/>
        <v>0.14214804395040379</v>
      </c>
      <c r="AA160" s="316">
        <f t="shared" si="93"/>
        <v>0.10023771930137777</v>
      </c>
      <c r="AB160" s="1054">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1055">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334">
        <f t="shared" si="100"/>
        <v>0</v>
      </c>
      <c r="AE160" s="1338">
        <f t="shared" si="97"/>
        <v>9.984294601291531E-2</v>
      </c>
      <c r="AF160" s="1339">
        <f t="shared" si="98"/>
        <v>0.14214804395040379</v>
      </c>
      <c r="AG160" s="1339">
        <f t="shared" si="99"/>
        <v>0.24199098996331908</v>
      </c>
      <c r="AH160" s="1280">
        <f t="shared" si="95"/>
        <v>0.41258951842814262</v>
      </c>
      <c r="AI160" s="1340">
        <f t="shared" si="96"/>
        <v>0.58741048157185749</v>
      </c>
      <c r="AJ160" s="245"/>
      <c r="AK160" s="245"/>
      <c r="AL160" s="245"/>
      <c r="AM160" s="245"/>
    </row>
    <row r="161" spans="1:39" ht="13.5" thickBot="1" x14ac:dyDescent="0.25">
      <c r="A161" s="346">
        <v>2040</v>
      </c>
      <c r="B161" s="364">
        <v>7.4266311564252828E-3</v>
      </c>
      <c r="C161" s="365">
        <v>0.29245619438651976</v>
      </c>
      <c r="D161" s="365">
        <v>0.32812521238484271</v>
      </c>
      <c r="E161" s="365">
        <v>0.30905915290427094</v>
      </c>
      <c r="F161" s="365">
        <v>0.29697825529763749</v>
      </c>
      <c r="G161" s="365">
        <v>0.28546767847220311</v>
      </c>
      <c r="H161" s="365">
        <v>0.27092947690831554</v>
      </c>
      <c r="I161" s="365">
        <v>0.2665275306882991</v>
      </c>
      <c r="J161" s="365">
        <v>0.26322454931038908</v>
      </c>
      <c r="K161" s="365">
        <v>0.26080812993417646</v>
      </c>
      <c r="L161" s="399">
        <v>0.26080812993417646</v>
      </c>
      <c r="M161" s="328">
        <f t="shared" si="90"/>
        <v>9.9161933181543413E-2</v>
      </c>
      <c r="N161" s="330">
        <f t="shared" si="91"/>
        <v>6.7624441798923934E-2</v>
      </c>
      <c r="O161" s="364">
        <v>5.4577521053566754E-3</v>
      </c>
      <c r="P161" s="365">
        <v>0.30620091126973886</v>
      </c>
      <c r="Q161" s="365">
        <v>0.31833620893626108</v>
      </c>
      <c r="R161" s="365">
        <v>0.29482462959399508</v>
      </c>
      <c r="S161" s="365">
        <v>0.28946438573356648</v>
      </c>
      <c r="T161" s="365">
        <v>0.27771215914922143</v>
      </c>
      <c r="U161" s="365">
        <v>0.26904084906692516</v>
      </c>
      <c r="V161" s="365">
        <v>0.26491147528364978</v>
      </c>
      <c r="W161" s="365">
        <v>0.26192678600249075</v>
      </c>
      <c r="X161" s="365">
        <v>0.26080812993417646</v>
      </c>
      <c r="Y161" s="399">
        <v>0.2598841978487938</v>
      </c>
      <c r="Z161" s="328">
        <f t="shared" si="92"/>
        <v>0.14735188482139969</v>
      </c>
      <c r="AA161" s="330">
        <f t="shared" si="93"/>
        <v>0.10596457936646764</v>
      </c>
      <c r="AB161" s="1054">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1055">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334">
        <f t="shared" si="100"/>
        <v>0</v>
      </c>
      <c r="AE161" s="1338">
        <f t="shared" si="97"/>
        <v>9.9161933181543413E-2</v>
      </c>
      <c r="AF161" s="1339">
        <f t="shared" si="98"/>
        <v>0.14735188482139969</v>
      </c>
      <c r="AG161" s="1339">
        <f t="shared" si="99"/>
        <v>0.24651381800294309</v>
      </c>
      <c r="AH161" s="1280">
        <f t="shared" si="95"/>
        <v>0.40225709854674163</v>
      </c>
      <c r="AI161" s="1340">
        <f t="shared" si="96"/>
        <v>0.59774290145325837</v>
      </c>
      <c r="AJ161" s="245"/>
      <c r="AK161" s="245"/>
      <c r="AL161" s="245"/>
      <c r="AM161" s="245"/>
    </row>
    <row r="162" spans="1:39" x14ac:dyDescent="0.2">
      <c r="A162" s="347">
        <v>2041</v>
      </c>
      <c r="B162" s="360">
        <v>7.4266325924915904E-3</v>
      </c>
      <c r="C162" s="361">
        <v>0.29245625093793304</v>
      </c>
      <c r="D162" s="361">
        <v>0.321876258854428</v>
      </c>
      <c r="E162" s="361">
        <v>0.29453982098206699</v>
      </c>
      <c r="F162" s="361">
        <v>0.29197605426008538</v>
      </c>
      <c r="G162" s="361">
        <v>0.28309265020583568</v>
      </c>
      <c r="H162" s="361">
        <v>0.2690508981062904</v>
      </c>
      <c r="I162" s="361">
        <v>0.26492183979638362</v>
      </c>
      <c r="J162" s="361">
        <v>0.26323505468415509</v>
      </c>
      <c r="K162" s="361">
        <v>0.2608188917447718</v>
      </c>
      <c r="L162" s="397">
        <v>0.2608188917447718</v>
      </c>
      <c r="M162" s="300">
        <f t="shared" si="90"/>
        <v>9.7813015497953168E-2</v>
      </c>
      <c r="N162" s="302">
        <f t="shared" si="91"/>
        <v>6.701399361210679E-2</v>
      </c>
      <c r="O162" s="360">
        <v>5.4577531607065037E-3</v>
      </c>
      <c r="P162" s="361">
        <v>0.30595066349488159</v>
      </c>
      <c r="Q162" s="361">
        <v>0.32169655103276323</v>
      </c>
      <c r="R162" s="361">
        <v>0.28033718509188149</v>
      </c>
      <c r="S162" s="361">
        <v>0.28453492791567098</v>
      </c>
      <c r="T162" s="361">
        <v>0.27558353298223881</v>
      </c>
      <c r="U162" s="361">
        <v>0.26728727955525328</v>
      </c>
      <c r="V162" s="361">
        <v>0.26345706992789819</v>
      </c>
      <c r="W162" s="361">
        <v>0.26193742991109115</v>
      </c>
      <c r="X162" s="361">
        <v>0.2608188917447718</v>
      </c>
      <c r="Y162" s="397">
        <v>0.25918403344314456</v>
      </c>
      <c r="Z162" s="300">
        <f t="shared" si="92"/>
        <v>0.14652916570089475</v>
      </c>
      <c r="AA162" s="302">
        <f t="shared" si="93"/>
        <v>0.10568324680010012</v>
      </c>
      <c r="AB162" s="1054">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1055">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334">
        <f t="shared" si="100"/>
        <v>0</v>
      </c>
      <c r="AE162" s="1338">
        <f t="shared" si="97"/>
        <v>9.7813015497953168E-2</v>
      </c>
      <c r="AF162" s="1339">
        <f t="shared" si="98"/>
        <v>0.14652916570089475</v>
      </c>
      <c r="AG162" s="1339">
        <f t="shared" si="99"/>
        <v>0.24434218119884793</v>
      </c>
      <c r="AH162" s="1280">
        <f t="shared" si="95"/>
        <v>0.40031162453425112</v>
      </c>
      <c r="AI162" s="1340">
        <f t="shared" si="96"/>
        <v>0.59968837546574882</v>
      </c>
      <c r="AJ162" s="245"/>
      <c r="AK162" s="245"/>
      <c r="AL162" s="245"/>
      <c r="AM162" s="245"/>
    </row>
    <row r="163" spans="1:39" x14ac:dyDescent="0.2">
      <c r="A163" s="348">
        <v>2042</v>
      </c>
      <c r="B163" s="362">
        <v>8.6360950868263862E-3</v>
      </c>
      <c r="C163" s="363">
        <v>0.29194526602398319</v>
      </c>
      <c r="D163" s="363">
        <v>0.32193195948613945</v>
      </c>
      <c r="E163" s="363">
        <v>0.27470446724258329</v>
      </c>
      <c r="F163" s="363">
        <v>0.2869962703347384</v>
      </c>
      <c r="G163" s="363">
        <v>0.2785258827782579</v>
      </c>
      <c r="H163" s="363">
        <v>0.26729749813947185</v>
      </c>
      <c r="I163" s="363">
        <v>0.26493217736298774</v>
      </c>
      <c r="J163" s="363">
        <v>0.26194804741797884</v>
      </c>
      <c r="K163" s="363">
        <v>0.25990588810102055</v>
      </c>
      <c r="L163" s="398">
        <v>0.25990588810102055</v>
      </c>
      <c r="M163" s="314">
        <f t="shared" si="90"/>
        <v>9.6795166277361316E-2</v>
      </c>
      <c r="N163" s="316">
        <f t="shared" si="91"/>
        <v>6.6757995722019584E-2</v>
      </c>
      <c r="O163" s="362">
        <v>6.3731836952560803E-3</v>
      </c>
      <c r="P163" s="363">
        <v>0.29884928515845499</v>
      </c>
      <c r="Q163" s="363">
        <v>0.30239369862921089</v>
      </c>
      <c r="R163" s="363">
        <v>0.26285422857827245</v>
      </c>
      <c r="S163" s="363">
        <v>0.28213735933394624</v>
      </c>
      <c r="T163" s="363">
        <v>0.27355512239050345</v>
      </c>
      <c r="U163" s="363">
        <v>0.26567243357464165</v>
      </c>
      <c r="V163" s="363">
        <v>0.26346756632030333</v>
      </c>
      <c r="W163" s="363">
        <v>0.26082962736641513</v>
      </c>
      <c r="X163" s="363">
        <v>0.25990588810102055</v>
      </c>
      <c r="Y163" s="398">
        <v>0.25919493917993153</v>
      </c>
      <c r="Z163" s="314">
        <f t="shared" si="92"/>
        <v>0.14195663138443407</v>
      </c>
      <c r="AA163" s="316">
        <f t="shared" si="93"/>
        <v>0.10279249173192126</v>
      </c>
      <c r="AB163" s="1054">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1055">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334">
        <f t="shared" si="100"/>
        <v>0</v>
      </c>
      <c r="AE163" s="1338">
        <f t="shared" si="97"/>
        <v>9.6795166277361316E-2</v>
      </c>
      <c r="AF163" s="1339">
        <f t="shared" si="98"/>
        <v>0.14195663138443407</v>
      </c>
      <c r="AG163" s="1339">
        <f t="shared" si="99"/>
        <v>0.23875179766179538</v>
      </c>
      <c r="AH163" s="1280">
        <f t="shared" si="95"/>
        <v>0.40542172760716472</v>
      </c>
      <c r="AI163" s="1340">
        <f t="shared" si="96"/>
        <v>0.59457827239283523</v>
      </c>
      <c r="AJ163" s="245"/>
      <c r="AK163" s="245"/>
      <c r="AL163" s="245"/>
      <c r="AM163" s="245"/>
    </row>
    <row r="164" spans="1:39" x14ac:dyDescent="0.2">
      <c r="A164" s="348">
        <v>2043</v>
      </c>
      <c r="B164" s="362">
        <v>8.6360953128277896E-3</v>
      </c>
      <c r="C164" s="363">
        <v>0.28731234695447772</v>
      </c>
      <c r="D164" s="363">
        <v>0.297306141038434</v>
      </c>
      <c r="E164" s="363">
        <v>0.25510012426454343</v>
      </c>
      <c r="F164" s="363">
        <v>0.28214650507567907</v>
      </c>
      <c r="G164" s="363">
        <v>0.27637159789639515</v>
      </c>
      <c r="H164" s="363">
        <v>0.26568281725233517</v>
      </c>
      <c r="I164" s="363">
        <v>0.26347804925022855</v>
      </c>
      <c r="J164" s="363">
        <v>0.26195865152672265</v>
      </c>
      <c r="K164" s="363">
        <v>0.25991670690596697</v>
      </c>
      <c r="L164" s="398">
        <v>0.25991670690596697</v>
      </c>
      <c r="M164" s="314">
        <f t="shared" si="90"/>
        <v>9.2889406785341549E-2</v>
      </c>
      <c r="N164" s="316">
        <f t="shared" si="91"/>
        <v>6.4470512813325942E-2</v>
      </c>
      <c r="O164" s="362">
        <v>6.3731838620384555E-3</v>
      </c>
      <c r="P164" s="363">
        <v>0.28993051000904624</v>
      </c>
      <c r="Q164" s="363">
        <v>0.27767843535138825</v>
      </c>
      <c r="R164" s="363">
        <v>0.24918730105849182</v>
      </c>
      <c r="S164" s="363">
        <v>0.27752874027421698</v>
      </c>
      <c r="T164" s="363">
        <v>0.27164075659727072</v>
      </c>
      <c r="U164" s="363">
        <v>0.26568281725233517</v>
      </c>
      <c r="V164" s="363">
        <v>0.26217851800590319</v>
      </c>
      <c r="W164" s="363">
        <v>0.26084034963557734</v>
      </c>
      <c r="X164" s="363">
        <v>0.25991670690596697</v>
      </c>
      <c r="Y164" s="398">
        <v>0.25920583163188876</v>
      </c>
      <c r="Z164" s="314">
        <f t="shared" si="92"/>
        <v>0.13653794201954092</v>
      </c>
      <c r="AA164" s="316">
        <f t="shared" si="93"/>
        <v>9.9012809095843465E-2</v>
      </c>
      <c r="AB164" s="1054">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1055">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334">
        <f t="shared" si="100"/>
        <v>0</v>
      </c>
      <c r="AE164" s="1338">
        <f t="shared" si="97"/>
        <v>9.2889406785341549E-2</v>
      </c>
      <c r="AF164" s="1339">
        <f t="shared" si="98"/>
        <v>0.13653794201954092</v>
      </c>
      <c r="AG164" s="1339">
        <f t="shared" si="99"/>
        <v>0.22942734880488247</v>
      </c>
      <c r="AH164" s="1280">
        <f t="shared" si="95"/>
        <v>0.40487503895771276</v>
      </c>
      <c r="AI164" s="1340">
        <f t="shared" si="96"/>
        <v>0.59512496104228718</v>
      </c>
      <c r="AJ164" s="245"/>
      <c r="AK164" s="245"/>
      <c r="AL164" s="245"/>
      <c r="AM164" s="245"/>
    </row>
    <row r="165" spans="1:39" x14ac:dyDescent="0.2">
      <c r="A165" s="348">
        <v>2044</v>
      </c>
      <c r="B165" s="362">
        <v>8.6360953959690612E-3</v>
      </c>
      <c r="C165" s="363">
        <v>0.27387030703668164</v>
      </c>
      <c r="D165" s="363">
        <v>0.25964301239239307</v>
      </c>
      <c r="E165" s="363">
        <v>0.24341769378536698</v>
      </c>
      <c r="F165" s="363">
        <v>0.27753844665996741</v>
      </c>
      <c r="G165" s="363">
        <v>0.27431905292624859</v>
      </c>
      <c r="H165" s="363">
        <v>0.26422047902823037</v>
      </c>
      <c r="I165" s="363">
        <v>0.26218914843696961</v>
      </c>
      <c r="J165" s="363">
        <v>0.2608510805817455</v>
      </c>
      <c r="K165" s="363">
        <v>0.25992753453148287</v>
      </c>
      <c r="L165" s="398">
        <v>0.25992753453148287</v>
      </c>
      <c r="M165" s="314">
        <f t="shared" si="90"/>
        <v>8.6863686820324013E-2</v>
      </c>
      <c r="N165" s="316">
        <f t="shared" si="91"/>
        <v>6.0414316854174893E-2</v>
      </c>
      <c r="O165" s="362">
        <v>6.373183923394264E-3</v>
      </c>
      <c r="P165" s="363">
        <v>0.27684898832168481</v>
      </c>
      <c r="Q165" s="363">
        <v>0.25801010443094458</v>
      </c>
      <c r="R165" s="363">
        <v>0.23991073206770097</v>
      </c>
      <c r="S165" s="363">
        <v>0.27535538726435022</v>
      </c>
      <c r="T165" s="363">
        <v>0.26985421144108968</v>
      </c>
      <c r="U165" s="363">
        <v>0.26422047902823037</v>
      </c>
      <c r="V165" s="363">
        <v>0.26106909100823616</v>
      </c>
      <c r="W165" s="363">
        <v>0.25992753453148287</v>
      </c>
      <c r="X165" s="363">
        <v>0.25992753453148287</v>
      </c>
      <c r="Y165" s="398">
        <v>0.25874263074000187</v>
      </c>
      <c r="Z165" s="314">
        <f t="shared" si="92"/>
        <v>0.1306928919254334</v>
      </c>
      <c r="AA165" s="316">
        <f t="shared" si="93"/>
        <v>9.4508562889362879E-2</v>
      </c>
      <c r="AB165" s="1054">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1055">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334">
        <f t="shared" si="100"/>
        <v>0</v>
      </c>
      <c r="AE165" s="1338">
        <f t="shared" si="97"/>
        <v>8.6863686820324013E-2</v>
      </c>
      <c r="AF165" s="1339">
        <f t="shared" si="98"/>
        <v>0.1306928919254334</v>
      </c>
      <c r="AG165" s="1339">
        <f t="shared" si="99"/>
        <v>0.2175565787457574</v>
      </c>
      <c r="AH165" s="1280">
        <f t="shared" si="95"/>
        <v>0.39926940992133964</v>
      </c>
      <c r="AI165" s="1340">
        <f t="shared" si="96"/>
        <v>0.60073059007866048</v>
      </c>
      <c r="AJ165" s="245"/>
      <c r="AK165" s="245"/>
      <c r="AL165" s="245"/>
      <c r="AM165" s="245"/>
    </row>
    <row r="166" spans="1:39" ht="13.5" thickBot="1" x14ac:dyDescent="0.25">
      <c r="A166" s="346">
        <v>2045</v>
      </c>
      <c r="B166" s="364">
        <v>8.6360954265550256E-3</v>
      </c>
      <c r="C166" s="365">
        <v>0.25309968107275566</v>
      </c>
      <c r="D166" s="365">
        <v>0.25594276391179543</v>
      </c>
      <c r="E166" s="365">
        <v>0.23435573585320729</v>
      </c>
      <c r="F166" s="365">
        <v>0.27536535111164062</v>
      </c>
      <c r="G166" s="365">
        <v>0.27238217953990534</v>
      </c>
      <c r="H166" s="365">
        <v>0.26423103449372903</v>
      </c>
      <c r="I166" s="365">
        <v>0.26219978288871998</v>
      </c>
      <c r="J166" s="365">
        <v>0.26086181562260502</v>
      </c>
      <c r="K166" s="365">
        <v>0.25922763861153608</v>
      </c>
      <c r="L166" s="399">
        <v>0.25922763861153608</v>
      </c>
      <c r="M166" s="328">
        <f t="shared" si="90"/>
        <v>8.294774882092025E-2</v>
      </c>
      <c r="N166" s="330">
        <f t="shared" si="91"/>
        <v>5.7113768004368369E-2</v>
      </c>
      <c r="O166" s="364">
        <v>6.373183945965805E-3</v>
      </c>
      <c r="P166" s="365">
        <v>0.25089094237593257</v>
      </c>
      <c r="Q166" s="365">
        <v>0.24489284631359756</v>
      </c>
      <c r="R166" s="365">
        <v>0.23154101032003721</v>
      </c>
      <c r="S166" s="365">
        <v>0.27328506508421202</v>
      </c>
      <c r="T166" s="365">
        <v>0.26820921619615345</v>
      </c>
      <c r="U166" s="365">
        <v>0.26292433589494385</v>
      </c>
      <c r="V166" s="365">
        <v>0.26107984400015249</v>
      </c>
      <c r="W166" s="365">
        <v>0.25993836631974626</v>
      </c>
      <c r="X166" s="365">
        <v>0.25922763861153608</v>
      </c>
      <c r="Y166" s="399">
        <v>0.25875358525235481</v>
      </c>
      <c r="Z166" s="328">
        <f t="shared" si="92"/>
        <v>0.12200970655040162</v>
      </c>
      <c r="AA166" s="330">
        <f t="shared" si="93"/>
        <v>8.7038660509606375E-2</v>
      </c>
      <c r="AB166" s="1054">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1055">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334">
        <f t="shared" si="100"/>
        <v>0</v>
      </c>
      <c r="AE166" s="1338">
        <f t="shared" si="97"/>
        <v>8.294774882092025E-2</v>
      </c>
      <c r="AF166" s="1339">
        <f t="shared" si="98"/>
        <v>0.12200970655040162</v>
      </c>
      <c r="AG166" s="1339">
        <f t="shared" si="99"/>
        <v>0.20495745537132187</v>
      </c>
      <c r="AH166" s="1280">
        <f t="shared" si="95"/>
        <v>0.40470715578822752</v>
      </c>
      <c r="AI166" s="1340">
        <f t="shared" si="96"/>
        <v>0.59529284421177253</v>
      </c>
      <c r="AJ166" s="245"/>
      <c r="AK166" s="245"/>
      <c r="AL166" s="245"/>
      <c r="AM166" s="245"/>
    </row>
    <row r="167" spans="1:39" x14ac:dyDescent="0.2">
      <c r="A167" s="347">
        <v>2046</v>
      </c>
      <c r="B167" s="360">
        <v>7.4266334226176971E-3</v>
      </c>
      <c r="C167" s="361">
        <v>0.23898129049829137</v>
      </c>
      <c r="D167" s="361">
        <v>0.23318845621290155</v>
      </c>
      <c r="E167" s="361">
        <v>0.23086283682386854</v>
      </c>
      <c r="F167" s="361">
        <v>0.27329527095712797</v>
      </c>
      <c r="G167" s="361">
        <v>0.27057484845929647</v>
      </c>
      <c r="H167" s="361">
        <v>0.2629350361910831</v>
      </c>
      <c r="I167" s="361">
        <v>0.26109060209767609</v>
      </c>
      <c r="J167" s="361">
        <v>0.25994920326836757</v>
      </c>
      <c r="K167" s="361">
        <v>0.25923854941860897</v>
      </c>
      <c r="L167" s="397">
        <v>0.25923854941860897</v>
      </c>
      <c r="M167" s="300">
        <f t="shared" si="90"/>
        <v>7.8484902024800407E-2</v>
      </c>
      <c r="N167" s="302">
        <f t="shared" si="91"/>
        <v>5.3680880471782974E-2</v>
      </c>
      <c r="O167" s="360">
        <v>5.4577537707573339E-3</v>
      </c>
      <c r="P167" s="361">
        <v>0.23691405457860309</v>
      </c>
      <c r="Q167" s="361">
        <v>0.22671796817257331</v>
      </c>
      <c r="R167" s="361">
        <v>0.22837457304499637</v>
      </c>
      <c r="S167" s="361">
        <v>0.27133176983815188</v>
      </c>
      <c r="T167" s="361">
        <v>0.26821981380624377</v>
      </c>
      <c r="U167" s="361">
        <v>0.2629350361910831</v>
      </c>
      <c r="V167" s="361">
        <v>0.26109060209767609</v>
      </c>
      <c r="W167" s="361">
        <v>0.25994920326836757</v>
      </c>
      <c r="X167" s="361">
        <v>0.25923854941860897</v>
      </c>
      <c r="Y167" s="397">
        <v>0.25876454500736834</v>
      </c>
      <c r="Z167" s="300">
        <f t="shared" si="92"/>
        <v>0.11638796698500099</v>
      </c>
      <c r="AA167" s="302">
        <f t="shared" si="93"/>
        <v>8.2280607699103975E-2</v>
      </c>
      <c r="AB167" s="1054">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1055">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334">
        <f t="shared" si="100"/>
        <v>0</v>
      </c>
      <c r="AE167" s="1338">
        <f t="shared" si="97"/>
        <v>7.8484902024800407E-2</v>
      </c>
      <c r="AF167" s="1339">
        <f t="shared" si="98"/>
        <v>0.11638796698500099</v>
      </c>
      <c r="AG167" s="1339">
        <f t="shared" si="99"/>
        <v>0.19487286900980139</v>
      </c>
      <c r="AH167" s="1280">
        <f t="shared" si="95"/>
        <v>0.4027492509532094</v>
      </c>
      <c r="AI167" s="1340">
        <f t="shared" si="96"/>
        <v>0.59725074904679065</v>
      </c>
      <c r="AJ167" s="245"/>
      <c r="AK167" s="245"/>
      <c r="AL167" s="245"/>
      <c r="AM167" s="245"/>
    </row>
    <row r="168" spans="1:39" x14ac:dyDescent="0.2">
      <c r="A168" s="348">
        <v>2047</v>
      </c>
      <c r="B168" s="362">
        <v>7.4266334226176971E-3</v>
      </c>
      <c r="C168" s="363">
        <v>0.23009325003350597</v>
      </c>
      <c r="D168" s="363">
        <v>0.2266724910670303</v>
      </c>
      <c r="E168" s="363">
        <v>0.22753532277120139</v>
      </c>
      <c r="F168" s="363">
        <v>0.27330547482885315</v>
      </c>
      <c r="G168" s="363">
        <v>0.27058538559216389</v>
      </c>
      <c r="H168" s="363">
        <v>0.26294573449154207</v>
      </c>
      <c r="I168" s="363">
        <v>0.26110135820393859</v>
      </c>
      <c r="J168" s="363">
        <v>0.26017656117117594</v>
      </c>
      <c r="K168" s="363">
        <v>0.25924945823266971</v>
      </c>
      <c r="L168" s="398">
        <v>0.25924945823266971</v>
      </c>
      <c r="M168" s="314">
        <f t="shared" si="90"/>
        <v>7.6416447850668479E-2</v>
      </c>
      <c r="N168" s="316">
        <f t="shared" si="91"/>
        <v>5.2033825454620271E-2</v>
      </c>
      <c r="O168" s="362">
        <v>5.4577537707573339E-3</v>
      </c>
      <c r="P168" s="363">
        <v>0.20610183672718027</v>
      </c>
      <c r="Q168" s="363">
        <v>0.22458605092299327</v>
      </c>
      <c r="R168" s="363">
        <v>0.22685821829539146</v>
      </c>
      <c r="S168" s="363">
        <v>0.27134219349435629</v>
      </c>
      <c r="T168" s="363">
        <v>0.26823040940453019</v>
      </c>
      <c r="U168" s="363">
        <v>0.26294573449154207</v>
      </c>
      <c r="V168" s="363">
        <v>0.26110135820393859</v>
      </c>
      <c r="W168" s="363">
        <v>0.25924945823266971</v>
      </c>
      <c r="X168" s="363">
        <v>0.25924945823266971</v>
      </c>
      <c r="Y168" s="398">
        <v>0.25877550276839612</v>
      </c>
      <c r="Z168" s="314">
        <f t="shared" si="92"/>
        <v>0.10780166006888271</v>
      </c>
      <c r="AA168" s="316">
        <f t="shared" si="93"/>
        <v>7.4255455919805521E-2</v>
      </c>
      <c r="AB168" s="1054">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1055">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334">
        <f t="shared" si="100"/>
        <v>0</v>
      </c>
      <c r="AE168" s="1338">
        <f t="shared" si="97"/>
        <v>7.6416447850668479E-2</v>
      </c>
      <c r="AF168" s="1339">
        <f t="shared" si="98"/>
        <v>0.10780166006888271</v>
      </c>
      <c r="AG168" s="1339">
        <f t="shared" si="99"/>
        <v>0.18421810791955118</v>
      </c>
      <c r="AH168" s="1280">
        <f t="shared" si="95"/>
        <v>0.41481507281596802</v>
      </c>
      <c r="AI168" s="1340">
        <f t="shared" si="96"/>
        <v>0.58518492718403203</v>
      </c>
      <c r="AJ168" s="245"/>
      <c r="AK168" s="245"/>
      <c r="AL168" s="245"/>
      <c r="AM168" s="245"/>
    </row>
    <row r="169" spans="1:39" x14ac:dyDescent="0.2">
      <c r="A169" s="348">
        <v>2048</v>
      </c>
      <c r="B169" s="362">
        <v>7.4266334226176971E-3</v>
      </c>
      <c r="C169" s="363">
        <v>0.22247172615848965</v>
      </c>
      <c r="D169" s="363">
        <v>0.22238921649355053</v>
      </c>
      <c r="E169" s="363">
        <v>0.22592051320984233</v>
      </c>
      <c r="F169" s="363">
        <v>0.27135262971087171</v>
      </c>
      <c r="G169" s="363">
        <v>0.27059593543320248</v>
      </c>
      <c r="H169" s="363">
        <v>0.26295644573193866</v>
      </c>
      <c r="I169" s="363">
        <v>0.2611121273310224</v>
      </c>
      <c r="J169" s="363">
        <v>0.26018742733402833</v>
      </c>
      <c r="K169" s="363">
        <v>0.25926038027171983</v>
      </c>
      <c r="L169" s="398">
        <v>0.25926038027171983</v>
      </c>
      <c r="M169" s="314">
        <f t="shared" si="90"/>
        <v>7.477383007350677E-2</v>
      </c>
      <c r="N169" s="316">
        <f t="shared" si="91"/>
        <v>5.0696573556878052E-2</v>
      </c>
      <c r="O169" s="362">
        <v>5.4577537707573339E-3</v>
      </c>
      <c r="P169" s="363">
        <v>0.20363923995834315</v>
      </c>
      <c r="Q169" s="363">
        <v>0.22059186352183957</v>
      </c>
      <c r="R169" s="363">
        <v>0.22667048611614291</v>
      </c>
      <c r="S169" s="363">
        <v>0.26952005480537733</v>
      </c>
      <c r="T169" s="363">
        <v>0.26674110767683101</v>
      </c>
      <c r="U169" s="363">
        <v>0.26295644573193866</v>
      </c>
      <c r="V169" s="363">
        <v>0.26018742733402833</v>
      </c>
      <c r="W169" s="363">
        <v>0.25926038027171983</v>
      </c>
      <c r="X169" s="363">
        <v>0.25926038027171983</v>
      </c>
      <c r="Y169" s="398">
        <v>0.25878647381959796</v>
      </c>
      <c r="Z169" s="314">
        <f t="shared" si="92"/>
        <v>0.10672704763246699</v>
      </c>
      <c r="AA169" s="316">
        <f t="shared" si="93"/>
        <v>7.341797578504472E-2</v>
      </c>
      <c r="AB169" s="1054">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1055">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334">
        <f t="shared" si="100"/>
        <v>0</v>
      </c>
      <c r="AE169" s="1338">
        <f t="shared" si="97"/>
        <v>7.477383007350677E-2</v>
      </c>
      <c r="AF169" s="1339">
        <f t="shared" si="98"/>
        <v>0.10672704763246699</v>
      </c>
      <c r="AG169" s="1339">
        <f t="shared" si="99"/>
        <v>0.18150087770597376</v>
      </c>
      <c r="AH169" s="1280">
        <f t="shared" si="95"/>
        <v>0.41197503295074001</v>
      </c>
      <c r="AI169" s="1340">
        <f t="shared" si="96"/>
        <v>0.58802496704925999</v>
      </c>
      <c r="AJ169" s="245"/>
      <c r="AK169" s="245"/>
      <c r="AL169" s="245"/>
      <c r="AM169" s="245"/>
    </row>
    <row r="170" spans="1:39" x14ac:dyDescent="0.2">
      <c r="A170" s="348">
        <v>2049</v>
      </c>
      <c r="B170" s="362">
        <v>7.4266334226176971E-3</v>
      </c>
      <c r="C170" s="363">
        <v>0.19930765797873218</v>
      </c>
      <c r="D170" s="363">
        <v>0.22222261174641059</v>
      </c>
      <c r="E170" s="363">
        <v>0.22573967324508087</v>
      </c>
      <c r="F170" s="363">
        <v>0.27136307137709403</v>
      </c>
      <c r="G170" s="363">
        <v>0.27060649079442001</v>
      </c>
      <c r="H170" s="363">
        <v>0.2629671626144105</v>
      </c>
      <c r="I170" s="363">
        <v>0.26112290214165379</v>
      </c>
      <c r="J170" s="363">
        <v>0.26019829924294008</v>
      </c>
      <c r="K170" s="363">
        <v>0.25927130809435339</v>
      </c>
      <c r="L170" s="398">
        <v>0.25927130809435339</v>
      </c>
      <c r="M170" s="314">
        <f t="shared" si="90"/>
        <v>7.1264518854172954E-2</v>
      </c>
      <c r="N170" s="316">
        <f t="shared" si="91"/>
        <v>4.7407319517510309E-2</v>
      </c>
      <c r="O170" s="362">
        <v>5.4577537707573339E-3</v>
      </c>
      <c r="P170" s="363">
        <v>0.19853593977934811</v>
      </c>
      <c r="Q170" s="363">
        <v>0.22042039631513194</v>
      </c>
      <c r="R170" s="363">
        <v>0.22528212409197929</v>
      </c>
      <c r="S170" s="363">
        <v>0.26953069820901493</v>
      </c>
      <c r="T170" s="363">
        <v>0.26675188374917946</v>
      </c>
      <c r="U170" s="363">
        <v>0.2629671626144105</v>
      </c>
      <c r="V170" s="363">
        <v>0.26019829924294008</v>
      </c>
      <c r="W170" s="363">
        <v>0.25927130809435339</v>
      </c>
      <c r="X170" s="363">
        <v>0.25927130809435339</v>
      </c>
      <c r="Y170" s="398">
        <v>0.25879745068619014</v>
      </c>
      <c r="Z170" s="314">
        <f t="shared" si="92"/>
        <v>0.10525312901278304</v>
      </c>
      <c r="AA170" s="316">
        <f t="shared" si="93"/>
        <v>7.2071561826613326E-2</v>
      </c>
      <c r="AB170" s="1054">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1055">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334">
        <f t="shared" si="100"/>
        <v>0</v>
      </c>
      <c r="AE170" s="1338">
        <f t="shared" si="97"/>
        <v>7.1264518854172954E-2</v>
      </c>
      <c r="AF170" s="1339">
        <f t="shared" si="98"/>
        <v>0.10525312901278304</v>
      </c>
      <c r="AG170" s="1339">
        <f t="shared" si="99"/>
        <v>0.17651764786695601</v>
      </c>
      <c r="AH170" s="1280">
        <f t="shared" si="95"/>
        <v>0.40372461176168678</v>
      </c>
      <c r="AI170" s="1340">
        <f t="shared" si="96"/>
        <v>0.59627538823831316</v>
      </c>
      <c r="AJ170" s="245"/>
      <c r="AK170" s="245"/>
      <c r="AL170" s="245"/>
      <c r="AM170" s="245"/>
    </row>
    <row r="171" spans="1:39" ht="13.5" thickBot="1" x14ac:dyDescent="0.25">
      <c r="A171" s="346">
        <v>2050</v>
      </c>
      <c r="B171" s="364">
        <v>7.4266334226176971E-3</v>
      </c>
      <c r="C171" s="365">
        <v>0.19919197870815059</v>
      </c>
      <c r="D171" s="365">
        <v>0.22002642257058663</v>
      </c>
      <c r="E171" s="365">
        <v>0.2242103597338084</v>
      </c>
      <c r="F171" s="365">
        <v>0.27137351849082919</v>
      </c>
      <c r="G171" s="365">
        <v>0.268943111758502</v>
      </c>
      <c r="H171" s="365">
        <v>0.26297788513678244</v>
      </c>
      <c r="I171" s="365">
        <v>0.26113368263366321</v>
      </c>
      <c r="J171" s="365">
        <v>0.26020917689574008</v>
      </c>
      <c r="K171" s="365">
        <v>0.25928224169840075</v>
      </c>
      <c r="L171" s="399">
        <v>0.25928224169840075</v>
      </c>
      <c r="M171" s="328">
        <f t="shared" si="90"/>
        <v>7.0981823727299567E-2</v>
      </c>
      <c r="N171" s="330">
        <f t="shared" si="91"/>
        <v>4.7252426645313116E-2</v>
      </c>
      <c r="O171" s="364">
        <v>5.4577537707573339E-3</v>
      </c>
      <c r="P171" s="365">
        <v>0.19593018385131447</v>
      </c>
      <c r="Q171" s="365">
        <v>0.21839738434744224</v>
      </c>
      <c r="R171" s="365">
        <v>0.22509836148245363</v>
      </c>
      <c r="S171" s="365">
        <v>0.2695413471869324</v>
      </c>
      <c r="T171" s="365">
        <v>0.26676266548489147</v>
      </c>
      <c r="U171" s="365">
        <v>0.26297788513678244</v>
      </c>
      <c r="V171" s="365">
        <v>0.26020917689574008</v>
      </c>
      <c r="W171" s="365">
        <v>0.25928224169840075</v>
      </c>
      <c r="X171" s="365">
        <v>0.25928224169840075</v>
      </c>
      <c r="Y171" s="399">
        <v>0.25880843336600245</v>
      </c>
      <c r="Z171" s="328">
        <f t="shared" si="92"/>
        <v>0.10437008871201811</v>
      </c>
      <c r="AA171" s="330">
        <f t="shared" si="93"/>
        <v>7.1305990095960572E-2</v>
      </c>
      <c r="AB171" s="1056">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1057">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335">
        <f t="shared" si="100"/>
        <v>0</v>
      </c>
      <c r="AE171" s="1341">
        <f t="shared" si="97"/>
        <v>7.0981823727299567E-2</v>
      </c>
      <c r="AF171" s="1342">
        <f t="shared" si="98"/>
        <v>0.10437008871201811</v>
      </c>
      <c r="AG171" s="1342">
        <f t="shared" si="99"/>
        <v>0.17535191243931769</v>
      </c>
      <c r="AH171" s="1343">
        <f t="shared" si="95"/>
        <v>0.40479640478323009</v>
      </c>
      <c r="AI171" s="1344">
        <f t="shared" si="96"/>
        <v>0.5952035952167698</v>
      </c>
      <c r="AJ171" s="245"/>
      <c r="AK171" s="245"/>
      <c r="AL171" s="245"/>
      <c r="AM171" s="245"/>
    </row>
    <row r="172" spans="1:39" x14ac:dyDescent="0.2">
      <c r="B172" s="245" t="s">
        <v>249</v>
      </c>
      <c r="O172" s="245" t="s">
        <v>249</v>
      </c>
      <c r="W172" s="341"/>
      <c r="X172" s="341"/>
      <c r="Y172" s="341"/>
      <c r="AJ172" s="245"/>
      <c r="AK172" s="245"/>
      <c r="AL172" s="245"/>
      <c r="AM172" s="245"/>
    </row>
    <row r="173" spans="1:39" ht="13.5" thickBot="1" x14ac:dyDescent="0.25">
      <c r="W173" s="341"/>
      <c r="X173" s="341"/>
      <c r="Y173" s="341"/>
      <c r="AI173" s="245"/>
      <c r="AJ173" s="245"/>
      <c r="AK173" s="245"/>
      <c r="AL173" s="245"/>
      <c r="AM173" s="245"/>
    </row>
    <row r="174" spans="1:39" ht="15" x14ac:dyDescent="0.25">
      <c r="A174" s="351"/>
      <c r="B174" s="713" t="s">
        <v>199</v>
      </c>
      <c r="C174" s="714"/>
      <c r="D174" s="714"/>
      <c r="E174" s="714"/>
      <c r="F174" s="714"/>
      <c r="G174" s="714"/>
      <c r="H174" s="714"/>
      <c r="I174" s="714"/>
      <c r="J174" s="714"/>
      <c r="K174" s="714"/>
      <c r="L174" s="714"/>
      <c r="M174" s="714"/>
      <c r="N174" s="715"/>
      <c r="O174" s="713" t="s">
        <v>200</v>
      </c>
      <c r="P174" s="714"/>
      <c r="Q174" s="714"/>
      <c r="R174" s="714"/>
      <c r="S174" s="714"/>
      <c r="T174" s="714"/>
      <c r="U174" s="714"/>
      <c r="V174" s="714"/>
      <c r="W174" s="714"/>
      <c r="X174" s="714"/>
      <c r="Y174" s="714"/>
      <c r="Z174" s="714"/>
      <c r="AA174" s="715"/>
      <c r="AI174" s="245"/>
      <c r="AJ174" s="245"/>
      <c r="AK174" s="245"/>
      <c r="AL174" s="245"/>
      <c r="AM174" s="245"/>
    </row>
    <row r="175" spans="1:39" x14ac:dyDescent="0.2">
      <c r="A175" s="342"/>
      <c r="B175" s="716" t="s">
        <v>121</v>
      </c>
      <c r="C175" s="717"/>
      <c r="D175" s="717"/>
      <c r="E175" s="717"/>
      <c r="F175" s="717"/>
      <c r="G175" s="717"/>
      <c r="H175" s="717"/>
      <c r="I175" s="717"/>
      <c r="J175" s="717"/>
      <c r="K175" s="717"/>
      <c r="L175" s="717"/>
      <c r="M175" s="400"/>
      <c r="N175" s="343"/>
      <c r="O175" s="716" t="s">
        <v>121</v>
      </c>
      <c r="P175" s="717"/>
      <c r="Q175" s="717"/>
      <c r="R175" s="717"/>
      <c r="S175" s="717"/>
      <c r="T175" s="717"/>
      <c r="U175" s="717"/>
      <c r="V175" s="717"/>
      <c r="W175" s="717"/>
      <c r="X175" s="717"/>
      <c r="Y175" s="717"/>
      <c r="Z175" s="400"/>
      <c r="AA175" s="343"/>
      <c r="AC175" s="1060" t="s">
        <v>276</v>
      </c>
      <c r="AD175" s="252" t="b">
        <f>INDEX(TECH_OPT_FUEL2_Cls3,MATCH(RIGHT(O174),TECH_OPT_ROWS_Cls3,0))&lt;&gt;"N/A"</f>
        <v>0</v>
      </c>
      <c r="AI175" s="245"/>
      <c r="AJ175" s="245"/>
      <c r="AK175" s="245"/>
      <c r="AL175" s="245"/>
      <c r="AM175" s="245"/>
    </row>
    <row r="176" spans="1:39"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2"/>
      <c r="AC176" s="1060" t="s">
        <v>277</v>
      </c>
      <c r="AD176" s="252">
        <f>MATCH(RIGHT(O174),TECH_OPT_ROWS_Cls3,0)</f>
        <v>4</v>
      </c>
      <c r="AI176" s="245"/>
      <c r="AJ176" s="245"/>
      <c r="AK176" s="245"/>
      <c r="AL176" s="245"/>
      <c r="AM176" s="245"/>
    </row>
    <row r="177" spans="1:39" ht="14.25" thickTop="1" thickBot="1" x14ac:dyDescent="0.25">
      <c r="A177" s="366" t="s">
        <v>124</v>
      </c>
      <c r="B177" s="358">
        <f t="array" ref="B177:L177">TRANSPOSE(Cls3CentTruckShr)</f>
        <v>0.16490316390132354</v>
      </c>
      <c r="C177" s="359">
        <v>0.14150050624583405</v>
      </c>
      <c r="D177" s="359">
        <v>5.0842757108027201E-2</v>
      </c>
      <c r="E177" s="359">
        <v>1.7493235097392132E-2</v>
      </c>
      <c r="F177" s="359">
        <v>6.5645600537602268E-3</v>
      </c>
      <c r="G177" s="359">
        <v>1.3068268788829179E-4</v>
      </c>
      <c r="H177" s="359">
        <v>2.9863696966199553E-3</v>
      </c>
      <c r="I177" s="359">
        <v>0</v>
      </c>
      <c r="J177" s="359">
        <v>0</v>
      </c>
      <c r="K177" s="359">
        <v>5.0573390409248292E-4</v>
      </c>
      <c r="L177" s="396">
        <v>0</v>
      </c>
      <c r="M177" s="402"/>
      <c r="N177" s="354"/>
      <c r="O177" s="358">
        <f t="array" ref="O177:Y177">TRANSPOSE(Cls3NCentTruckShr)</f>
        <v>0.27324001996593789</v>
      </c>
      <c r="P177" s="359">
        <v>0.25610450783680394</v>
      </c>
      <c r="Q177" s="359">
        <v>4.6572125423937315E-2</v>
      </c>
      <c r="R177" s="359">
        <v>2.2779497082922668E-2</v>
      </c>
      <c r="S177" s="359">
        <v>5.0811779544371336E-3</v>
      </c>
      <c r="T177" s="359">
        <v>2.5955840495899339E-3</v>
      </c>
      <c r="U177" s="359">
        <v>4.3441677754441459E-3</v>
      </c>
      <c r="V177" s="359">
        <v>3.7558983870508854E-3</v>
      </c>
      <c r="W177" s="359">
        <v>4.897828379299261E-4</v>
      </c>
      <c r="X177" s="359">
        <v>0</v>
      </c>
      <c r="Y177" s="1317">
        <v>1.1022999100839563E-4</v>
      </c>
      <c r="Z177" s="1322"/>
      <c r="AA177" s="1323"/>
      <c r="AI177" s="245"/>
      <c r="AJ177" s="245"/>
      <c r="AK177" s="245"/>
      <c r="AL177" s="245"/>
      <c r="AM177" s="245"/>
    </row>
    <row r="178" spans="1:39" x14ac:dyDescent="0.2">
      <c r="A178" s="349" t="s">
        <v>125</v>
      </c>
      <c r="B178" s="1029">
        <f t="array" ref="B178:L178">TRANSPOSE(Cls3CentVMTShr)</f>
        <v>7.4407503791532936E-2</v>
      </c>
      <c r="C178" s="1030">
        <v>0.15052192967997111</v>
      </c>
      <c r="D178" s="1030">
        <v>8.9028098283245441E-2</v>
      </c>
      <c r="E178" s="1030">
        <v>4.5356257743642811E-2</v>
      </c>
      <c r="F178" s="1030">
        <v>2.1016507050137231E-2</v>
      </c>
      <c r="G178" s="1030">
        <v>4.9007047894213725E-4</v>
      </c>
      <c r="H178" s="1030">
        <v>1.4797621296467818E-2</v>
      </c>
      <c r="I178" s="1030">
        <v>0</v>
      </c>
      <c r="J178" s="1030">
        <v>0</v>
      </c>
      <c r="K178" s="1030">
        <v>3.7103078033661591E-3</v>
      </c>
      <c r="L178" s="1318">
        <v>0</v>
      </c>
      <c r="M178" s="1319"/>
      <c r="N178" s="1320"/>
      <c r="O178" s="1029">
        <f t="array" ref="O178:Y178">TRANSPOSE(Cls3NCentVMTShr)</f>
        <v>0.11481596497083862</v>
      </c>
      <c r="P178" s="1030">
        <v>0.26987209279577573</v>
      </c>
      <c r="Q178" s="1030">
        <v>8.3836105982992667E-2</v>
      </c>
      <c r="R178" s="1030">
        <v>5.9842896537765707E-2</v>
      </c>
      <c r="S178" s="1030">
        <v>1.6413649143963899E-2</v>
      </c>
      <c r="T178" s="1030">
        <v>1.0165768727376887E-2</v>
      </c>
      <c r="U178" s="1030">
        <v>2.0700108148562976E-2</v>
      </c>
      <c r="V178" s="1030">
        <v>2.0956833812228508E-2</v>
      </c>
      <c r="W178" s="1030">
        <v>3.1584958359553582E-3</v>
      </c>
      <c r="X178" s="1030">
        <v>0</v>
      </c>
      <c r="Y178" s="1031">
        <v>9.0978791723388369E-4</v>
      </c>
      <c r="Z178" s="1319"/>
      <c r="AA178" s="1320"/>
      <c r="AB178" s="1574" t="str">
        <f>"% of miles on f2 for Tech "&amp; RIGHT(O173)&amp;" adopters"</f>
        <v>% of miles on f2 for Tech  adopters</v>
      </c>
      <c r="AC178" s="1575"/>
      <c r="AD178" s="1576"/>
      <c r="AE178" s="1345" t="s">
        <v>307</v>
      </c>
      <c r="AF178" s="1346"/>
      <c r="AG178" s="1346"/>
      <c r="AH178" s="1336" t="s">
        <v>306</v>
      </c>
      <c r="AI178" s="1337"/>
      <c r="AJ178" s="245"/>
      <c r="AK178" s="245"/>
      <c r="AL178" s="245"/>
      <c r="AM178" s="245"/>
    </row>
    <row r="179" spans="1:39" ht="13.5" thickBot="1" x14ac:dyDescent="0.25">
      <c r="A179" s="1048" t="s">
        <v>275</v>
      </c>
      <c r="B179" s="1039">
        <f t="array" ref="B179:L179">TRANSPOSE(Cls3CentVMT/OPDAYS_Cls3)</f>
        <v>49.202805162026571</v>
      </c>
      <c r="C179" s="1040">
        <v>115.99623692884222</v>
      </c>
      <c r="D179" s="1040">
        <v>190.94140758026836</v>
      </c>
      <c r="E179" s="1040">
        <v>282.72824571583544</v>
      </c>
      <c r="F179" s="1040">
        <v>349.10577157713089</v>
      </c>
      <c r="G179" s="1040">
        <v>408.92399999999998</v>
      </c>
      <c r="H179" s="1040">
        <v>540.31926836851005</v>
      </c>
      <c r="I179" s="1040">
        <v>600</v>
      </c>
      <c r="J179" s="1040">
        <v>680</v>
      </c>
      <c r="K179" s="1040">
        <v>800.00000000000011</v>
      </c>
      <c r="L179" s="1041">
        <v>800</v>
      </c>
      <c r="M179" s="1037"/>
      <c r="N179" s="1038"/>
      <c r="O179" s="1039">
        <f t="array" ref="O179:Y179">TRANSPOSE(Cls3NCentVMT/OPDAYS_Cls3)</f>
        <v>45.820527909508108</v>
      </c>
      <c r="P179" s="1040">
        <v>114.90604343518244</v>
      </c>
      <c r="Q179" s="1040">
        <v>196.29405935940918</v>
      </c>
      <c r="R179" s="1040">
        <v>286.46435582159182</v>
      </c>
      <c r="S179" s="1040">
        <v>352.24339419308075</v>
      </c>
      <c r="T179" s="1040">
        <v>427.07804424634116</v>
      </c>
      <c r="U179" s="1040">
        <v>519.59880241076587</v>
      </c>
      <c r="V179" s="1040">
        <v>608.4346682070543</v>
      </c>
      <c r="W179" s="1040">
        <v>703.2</v>
      </c>
      <c r="X179" s="1040">
        <v>760</v>
      </c>
      <c r="Y179" s="1321">
        <v>900</v>
      </c>
      <c r="Z179" s="1049"/>
      <c r="AA179" s="1038"/>
      <c r="AB179" s="1051" t="s">
        <v>188</v>
      </c>
      <c r="AC179" s="1052" t="s">
        <v>15</v>
      </c>
      <c r="AD179" s="1053" t="s">
        <v>18</v>
      </c>
      <c r="AE179" s="348" t="s">
        <v>188</v>
      </c>
      <c r="AF179" s="1347" t="s">
        <v>15</v>
      </c>
      <c r="AG179" s="1347" t="s">
        <v>18</v>
      </c>
      <c r="AH179" s="1348" t="s">
        <v>188</v>
      </c>
      <c r="AI179" s="1349" t="s">
        <v>15</v>
      </c>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SUMPRODUCT(B180:L180,$B$178:$L$178)</f>
        <v>0</v>
      </c>
      <c r="N180" s="300">
        <f>SUMPRODUCT(B180:L180,$B$177:$L$177)</f>
        <v>0</v>
      </c>
      <c r="O180" s="360">
        <v>0</v>
      </c>
      <c r="P180" s="361">
        <v>0</v>
      </c>
      <c r="Q180" s="361">
        <v>0</v>
      </c>
      <c r="R180" s="361">
        <v>0</v>
      </c>
      <c r="S180" s="361">
        <v>0</v>
      </c>
      <c r="T180" s="361">
        <v>0</v>
      </c>
      <c r="U180" s="361">
        <v>0</v>
      </c>
      <c r="V180" s="361">
        <v>0</v>
      </c>
      <c r="W180" s="361">
        <v>0</v>
      </c>
      <c r="X180" s="361">
        <v>0</v>
      </c>
      <c r="Y180" s="397">
        <v>0</v>
      </c>
      <c r="Z180" s="405">
        <f>SUMPRODUCT(O180:Y180,$O$178:$Y$178)</f>
        <v>0</v>
      </c>
      <c r="AA180" s="302">
        <f>SUMPRODUCT(O180:Y180,$O$177:$Y$177)</f>
        <v>0</v>
      </c>
      <c r="AB180" s="1054">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1055">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334">
        <f>AB180*AH180+AC180*AI180</f>
        <v>0</v>
      </c>
      <c r="AE180" s="1338">
        <f t="shared" ref="AE180:AE194" si="101">SUMPRODUCT($B$74:$L$74,B180:L180)</f>
        <v>0</v>
      </c>
      <c r="AF180" s="1339">
        <f t="shared" ref="AF180:AF194" si="102">SUMPRODUCT($O$74:$Y$74,O180:Y180)</f>
        <v>0</v>
      </c>
      <c r="AG180" s="1339">
        <f t="shared" ref="AG180:AG194" si="103">SUM(AE180:AF180)</f>
        <v>0</v>
      </c>
      <c r="AH180" s="1280">
        <f>IF(AG180&gt;0,AE180/AG180,0)</f>
        <v>0</v>
      </c>
      <c r="AI180" s="1340">
        <f>IF(AG180&gt;0,AF180/AG180,0)</f>
        <v>0</v>
      </c>
      <c r="AJ180" s="245"/>
      <c r="AK180" s="245"/>
      <c r="AL180" s="245"/>
      <c r="AM180" s="245"/>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4">SUMPRODUCT(B181:L181,$B$178:$L$178)</f>
        <v>0</v>
      </c>
      <c r="N181" s="316">
        <f t="shared" ref="N181:N223" si="105">SUMPRODUCT(B181:L181,$B$177:$L$177)</f>
        <v>0</v>
      </c>
      <c r="O181" s="362">
        <v>0</v>
      </c>
      <c r="P181" s="363">
        <v>0</v>
      </c>
      <c r="Q181" s="363">
        <v>0</v>
      </c>
      <c r="R181" s="363">
        <v>0</v>
      </c>
      <c r="S181" s="363">
        <v>0</v>
      </c>
      <c r="T181" s="363">
        <v>0</v>
      </c>
      <c r="U181" s="363">
        <v>0</v>
      </c>
      <c r="V181" s="363">
        <v>0</v>
      </c>
      <c r="W181" s="363">
        <v>0</v>
      </c>
      <c r="X181" s="363">
        <v>0</v>
      </c>
      <c r="Y181" s="398">
        <v>0</v>
      </c>
      <c r="Z181" s="314">
        <f t="shared" ref="Z181:Z223" si="106">SUMPRODUCT(O181:Y181,$O$178:$Y$178)</f>
        <v>0</v>
      </c>
      <c r="AA181" s="316">
        <f t="shared" ref="AA181:AA223" si="107">SUMPRODUCT(O181:Y181,$O$177:$Y$177)</f>
        <v>0</v>
      </c>
      <c r="AB181" s="1054">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1055">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334">
        <f t="shared" ref="AD181:AD205" si="108">AB181*AH181+AC181*AI181</f>
        <v>0</v>
      </c>
      <c r="AE181" s="1338">
        <f t="shared" si="101"/>
        <v>0</v>
      </c>
      <c r="AF181" s="1339">
        <f t="shared" si="102"/>
        <v>0</v>
      </c>
      <c r="AG181" s="1339">
        <f t="shared" si="103"/>
        <v>0</v>
      </c>
      <c r="AH181" s="1280">
        <f t="shared" ref="AH181:AH223" si="109">IF(AG181&gt;0,AE181/AG181,0)</f>
        <v>0</v>
      </c>
      <c r="AI181" s="1340">
        <f t="shared" ref="AI181:AI223" si="110">IF(AG181&gt;0,AF181/AG181,0)</f>
        <v>0</v>
      </c>
      <c r="AJ181" s="245"/>
      <c r="AK181" s="245"/>
      <c r="AL181" s="245"/>
      <c r="AM181" s="245"/>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4"/>
        <v>0</v>
      </c>
      <c r="N182" s="316">
        <f t="shared" si="105"/>
        <v>0</v>
      </c>
      <c r="O182" s="362">
        <v>0</v>
      </c>
      <c r="P182" s="363">
        <v>0</v>
      </c>
      <c r="Q182" s="363">
        <v>0</v>
      </c>
      <c r="R182" s="363">
        <v>0</v>
      </c>
      <c r="S182" s="363">
        <v>0</v>
      </c>
      <c r="T182" s="363">
        <v>0</v>
      </c>
      <c r="U182" s="363">
        <v>0</v>
      </c>
      <c r="V182" s="363">
        <v>0</v>
      </c>
      <c r="W182" s="363">
        <v>0</v>
      </c>
      <c r="X182" s="363">
        <v>0</v>
      </c>
      <c r="Y182" s="398">
        <v>0</v>
      </c>
      <c r="Z182" s="314">
        <f t="shared" si="106"/>
        <v>0</v>
      </c>
      <c r="AA182" s="316">
        <f t="shared" si="107"/>
        <v>0</v>
      </c>
      <c r="AB182" s="1054">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1055">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334">
        <f t="shared" si="108"/>
        <v>0</v>
      </c>
      <c r="AE182" s="1338">
        <f t="shared" si="101"/>
        <v>0</v>
      </c>
      <c r="AF182" s="1339">
        <f t="shared" si="102"/>
        <v>0</v>
      </c>
      <c r="AG182" s="1339">
        <f t="shared" si="103"/>
        <v>0</v>
      </c>
      <c r="AH182" s="1280">
        <f t="shared" si="109"/>
        <v>0</v>
      </c>
      <c r="AI182" s="1340">
        <f t="shared" si="110"/>
        <v>0</v>
      </c>
      <c r="AJ182" s="245"/>
      <c r="AK182" s="245"/>
      <c r="AL182" s="245"/>
      <c r="AM182" s="245"/>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4"/>
        <v>0</v>
      </c>
      <c r="N183" s="330">
        <f t="shared" si="105"/>
        <v>0</v>
      </c>
      <c r="O183" s="364">
        <v>0</v>
      </c>
      <c r="P183" s="365">
        <v>0</v>
      </c>
      <c r="Q183" s="365">
        <v>0</v>
      </c>
      <c r="R183" s="365">
        <v>0</v>
      </c>
      <c r="S183" s="365">
        <v>0</v>
      </c>
      <c r="T183" s="365">
        <v>0</v>
      </c>
      <c r="U183" s="365">
        <v>0</v>
      </c>
      <c r="V183" s="365">
        <v>0</v>
      </c>
      <c r="W183" s="365">
        <v>0</v>
      </c>
      <c r="X183" s="365">
        <v>0</v>
      </c>
      <c r="Y183" s="399">
        <v>0</v>
      </c>
      <c r="Z183" s="328">
        <f t="shared" si="106"/>
        <v>0</v>
      </c>
      <c r="AA183" s="330">
        <f t="shared" si="107"/>
        <v>0</v>
      </c>
      <c r="AB183" s="1054">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1055">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334">
        <f t="shared" si="108"/>
        <v>0</v>
      </c>
      <c r="AE183" s="1338">
        <f t="shared" si="101"/>
        <v>0</v>
      </c>
      <c r="AF183" s="1339">
        <f t="shared" si="102"/>
        <v>0</v>
      </c>
      <c r="AG183" s="1339">
        <f t="shared" si="103"/>
        <v>0</v>
      </c>
      <c r="AH183" s="1280">
        <f t="shared" si="109"/>
        <v>0</v>
      </c>
      <c r="AI183" s="1340">
        <f t="shared" si="110"/>
        <v>0</v>
      </c>
      <c r="AJ183" s="245"/>
      <c r="AK183" s="245"/>
      <c r="AL183" s="245"/>
      <c r="AM183" s="245"/>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4"/>
        <v>0</v>
      </c>
      <c r="N184" s="302">
        <f t="shared" si="105"/>
        <v>0</v>
      </c>
      <c r="O184" s="360">
        <v>0</v>
      </c>
      <c r="P184" s="361">
        <v>0</v>
      </c>
      <c r="Q184" s="361">
        <v>0</v>
      </c>
      <c r="R184" s="361">
        <v>0</v>
      </c>
      <c r="S184" s="361">
        <v>0</v>
      </c>
      <c r="T184" s="361">
        <v>0</v>
      </c>
      <c r="U184" s="361">
        <v>0</v>
      </c>
      <c r="V184" s="361">
        <v>0</v>
      </c>
      <c r="W184" s="361">
        <v>0</v>
      </c>
      <c r="X184" s="361">
        <v>0</v>
      </c>
      <c r="Y184" s="397">
        <v>0</v>
      </c>
      <c r="Z184" s="300">
        <f t="shared" si="106"/>
        <v>0</v>
      </c>
      <c r="AA184" s="302">
        <f t="shared" si="107"/>
        <v>0</v>
      </c>
      <c r="AB184" s="1054">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1055">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334">
        <f t="shared" si="108"/>
        <v>0</v>
      </c>
      <c r="AE184" s="1338">
        <f t="shared" si="101"/>
        <v>0</v>
      </c>
      <c r="AF184" s="1339">
        <f t="shared" si="102"/>
        <v>0</v>
      </c>
      <c r="AG184" s="1339">
        <f t="shared" si="103"/>
        <v>0</v>
      </c>
      <c r="AH184" s="1280">
        <f t="shared" si="109"/>
        <v>0</v>
      </c>
      <c r="AI184" s="1340">
        <f t="shared" si="110"/>
        <v>0</v>
      </c>
      <c r="AJ184" s="245"/>
      <c r="AK184" s="245"/>
      <c r="AL184" s="245"/>
      <c r="AM184" s="245"/>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4"/>
        <v>0</v>
      </c>
      <c r="N185" s="316">
        <f t="shared" si="105"/>
        <v>0</v>
      </c>
      <c r="O185" s="362">
        <v>0</v>
      </c>
      <c r="P185" s="363">
        <v>0</v>
      </c>
      <c r="Q185" s="363">
        <v>0</v>
      </c>
      <c r="R185" s="363">
        <v>0</v>
      </c>
      <c r="S185" s="363">
        <v>0</v>
      </c>
      <c r="T185" s="363">
        <v>0</v>
      </c>
      <c r="U185" s="363">
        <v>0</v>
      </c>
      <c r="V185" s="363">
        <v>0</v>
      </c>
      <c r="W185" s="363">
        <v>0</v>
      </c>
      <c r="X185" s="363">
        <v>0</v>
      </c>
      <c r="Y185" s="398">
        <v>0</v>
      </c>
      <c r="Z185" s="314">
        <f t="shared" si="106"/>
        <v>0</v>
      </c>
      <c r="AA185" s="316">
        <f t="shared" si="107"/>
        <v>0</v>
      </c>
      <c r="AB185" s="1054">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1055">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334">
        <f t="shared" si="108"/>
        <v>0</v>
      </c>
      <c r="AE185" s="1338">
        <f t="shared" si="101"/>
        <v>0</v>
      </c>
      <c r="AF185" s="1339">
        <f t="shared" si="102"/>
        <v>0</v>
      </c>
      <c r="AG185" s="1339">
        <f t="shared" si="103"/>
        <v>0</v>
      </c>
      <c r="AH185" s="1280">
        <f t="shared" si="109"/>
        <v>0</v>
      </c>
      <c r="AI185" s="1340">
        <f t="shared" si="110"/>
        <v>0</v>
      </c>
      <c r="AJ185" s="245"/>
      <c r="AK185" s="245"/>
      <c r="AL185" s="245"/>
      <c r="AM185" s="245"/>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4"/>
        <v>0</v>
      </c>
      <c r="N186" s="316">
        <f t="shared" si="105"/>
        <v>0</v>
      </c>
      <c r="O186" s="362">
        <v>0</v>
      </c>
      <c r="P186" s="363">
        <v>0</v>
      </c>
      <c r="Q186" s="363">
        <v>0</v>
      </c>
      <c r="R186" s="363">
        <v>0</v>
      </c>
      <c r="S186" s="363">
        <v>0</v>
      </c>
      <c r="T186" s="363">
        <v>0</v>
      </c>
      <c r="U186" s="363">
        <v>0</v>
      </c>
      <c r="V186" s="363">
        <v>0</v>
      </c>
      <c r="W186" s="363">
        <v>0</v>
      </c>
      <c r="X186" s="363">
        <v>0</v>
      </c>
      <c r="Y186" s="398">
        <v>0</v>
      </c>
      <c r="Z186" s="314">
        <f t="shared" si="106"/>
        <v>0</v>
      </c>
      <c r="AA186" s="316">
        <f t="shared" si="107"/>
        <v>0</v>
      </c>
      <c r="AB186" s="1054">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1055">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334">
        <f t="shared" si="108"/>
        <v>0</v>
      </c>
      <c r="AE186" s="1338">
        <f t="shared" si="101"/>
        <v>0</v>
      </c>
      <c r="AF186" s="1339">
        <f t="shared" si="102"/>
        <v>0</v>
      </c>
      <c r="AG186" s="1339">
        <f t="shared" si="103"/>
        <v>0</v>
      </c>
      <c r="AH186" s="1280">
        <f t="shared" si="109"/>
        <v>0</v>
      </c>
      <c r="AI186" s="1340">
        <f t="shared" si="110"/>
        <v>0</v>
      </c>
      <c r="AJ186" s="245"/>
      <c r="AK186" s="245"/>
      <c r="AL186" s="245"/>
      <c r="AM186" s="245"/>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4"/>
        <v>0</v>
      </c>
      <c r="N187" s="316">
        <f t="shared" si="105"/>
        <v>0</v>
      </c>
      <c r="O187" s="362">
        <v>0</v>
      </c>
      <c r="P187" s="363">
        <v>0</v>
      </c>
      <c r="Q187" s="363">
        <v>0</v>
      </c>
      <c r="R187" s="363">
        <v>0</v>
      </c>
      <c r="S187" s="363">
        <v>0</v>
      </c>
      <c r="T187" s="363">
        <v>0</v>
      </c>
      <c r="U187" s="363">
        <v>0</v>
      </c>
      <c r="V187" s="363">
        <v>0</v>
      </c>
      <c r="W187" s="363">
        <v>0</v>
      </c>
      <c r="X187" s="363">
        <v>0</v>
      </c>
      <c r="Y187" s="398">
        <v>0</v>
      </c>
      <c r="Z187" s="314">
        <f t="shared" si="106"/>
        <v>0</v>
      </c>
      <c r="AA187" s="316">
        <f t="shared" si="107"/>
        <v>0</v>
      </c>
      <c r="AB187" s="1054">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1055">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334">
        <f t="shared" si="108"/>
        <v>0</v>
      </c>
      <c r="AE187" s="1338">
        <f t="shared" si="101"/>
        <v>0</v>
      </c>
      <c r="AF187" s="1339">
        <f t="shared" si="102"/>
        <v>0</v>
      </c>
      <c r="AG187" s="1339">
        <f t="shared" si="103"/>
        <v>0</v>
      </c>
      <c r="AH187" s="1280">
        <f t="shared" si="109"/>
        <v>0</v>
      </c>
      <c r="AI187" s="1340">
        <f t="shared" si="110"/>
        <v>0</v>
      </c>
      <c r="AJ187" s="245"/>
      <c r="AK187" s="245"/>
      <c r="AL187" s="245"/>
      <c r="AM187" s="245"/>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4"/>
        <v>0</v>
      </c>
      <c r="N188" s="330">
        <f t="shared" si="105"/>
        <v>0</v>
      </c>
      <c r="O188" s="364">
        <v>0</v>
      </c>
      <c r="P188" s="365">
        <v>0</v>
      </c>
      <c r="Q188" s="365">
        <v>0</v>
      </c>
      <c r="R188" s="365">
        <v>0</v>
      </c>
      <c r="S188" s="365">
        <v>0</v>
      </c>
      <c r="T188" s="365">
        <v>0</v>
      </c>
      <c r="U188" s="365">
        <v>0</v>
      </c>
      <c r="V188" s="365">
        <v>0</v>
      </c>
      <c r="W188" s="365">
        <v>0</v>
      </c>
      <c r="X188" s="365">
        <v>0</v>
      </c>
      <c r="Y188" s="399">
        <v>0</v>
      </c>
      <c r="Z188" s="328">
        <f t="shared" si="106"/>
        <v>0</v>
      </c>
      <c r="AA188" s="330">
        <f t="shared" si="107"/>
        <v>0</v>
      </c>
      <c r="AB188" s="1054">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1055">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334">
        <f t="shared" si="108"/>
        <v>0</v>
      </c>
      <c r="AE188" s="1338">
        <f t="shared" si="101"/>
        <v>0</v>
      </c>
      <c r="AF188" s="1339">
        <f t="shared" si="102"/>
        <v>0</v>
      </c>
      <c r="AG188" s="1339">
        <f t="shared" si="103"/>
        <v>0</v>
      </c>
      <c r="AH188" s="1280">
        <f t="shared" si="109"/>
        <v>0</v>
      </c>
      <c r="AI188" s="1340">
        <f t="shared" si="110"/>
        <v>0</v>
      </c>
      <c r="AJ188" s="245"/>
      <c r="AK188" s="245"/>
      <c r="AL188" s="245"/>
      <c r="AM188" s="245"/>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4"/>
        <v>0</v>
      </c>
      <c r="N189" s="302">
        <f t="shared" si="105"/>
        <v>0</v>
      </c>
      <c r="O189" s="360">
        <v>0</v>
      </c>
      <c r="P189" s="361">
        <v>0</v>
      </c>
      <c r="Q189" s="361">
        <v>0</v>
      </c>
      <c r="R189" s="361">
        <v>0</v>
      </c>
      <c r="S189" s="361">
        <v>0</v>
      </c>
      <c r="T189" s="361">
        <v>0</v>
      </c>
      <c r="U189" s="361">
        <v>0</v>
      </c>
      <c r="V189" s="361">
        <v>0</v>
      </c>
      <c r="W189" s="361">
        <v>0</v>
      </c>
      <c r="X189" s="361">
        <v>0</v>
      </c>
      <c r="Y189" s="397">
        <v>0</v>
      </c>
      <c r="Z189" s="300">
        <f t="shared" si="106"/>
        <v>0</v>
      </c>
      <c r="AA189" s="302">
        <f t="shared" si="107"/>
        <v>0</v>
      </c>
      <c r="AB189" s="1054">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1055">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334">
        <f t="shared" si="108"/>
        <v>0</v>
      </c>
      <c r="AE189" s="1338">
        <f t="shared" si="101"/>
        <v>0</v>
      </c>
      <c r="AF189" s="1339">
        <f t="shared" si="102"/>
        <v>0</v>
      </c>
      <c r="AG189" s="1339">
        <f t="shared" si="103"/>
        <v>0</v>
      </c>
      <c r="AH189" s="1280">
        <f t="shared" si="109"/>
        <v>0</v>
      </c>
      <c r="AI189" s="1340">
        <f t="shared" si="110"/>
        <v>0</v>
      </c>
      <c r="AJ189" s="245"/>
      <c r="AK189" s="245"/>
      <c r="AL189" s="245"/>
      <c r="AM189" s="245"/>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4"/>
        <v>0</v>
      </c>
      <c r="N190" s="316">
        <f t="shared" si="105"/>
        <v>0</v>
      </c>
      <c r="O190" s="362">
        <v>0</v>
      </c>
      <c r="P190" s="363">
        <v>0</v>
      </c>
      <c r="Q190" s="363">
        <v>0</v>
      </c>
      <c r="R190" s="363">
        <v>0</v>
      </c>
      <c r="S190" s="363">
        <v>0</v>
      </c>
      <c r="T190" s="363">
        <v>0</v>
      </c>
      <c r="U190" s="363">
        <v>0</v>
      </c>
      <c r="V190" s="363">
        <v>0</v>
      </c>
      <c r="W190" s="363">
        <v>0</v>
      </c>
      <c r="X190" s="363">
        <v>0</v>
      </c>
      <c r="Y190" s="398">
        <v>0</v>
      </c>
      <c r="Z190" s="314">
        <f t="shared" si="106"/>
        <v>0</v>
      </c>
      <c r="AA190" s="316">
        <f t="shared" si="107"/>
        <v>0</v>
      </c>
      <c r="AB190" s="1054">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1055">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334">
        <f t="shared" si="108"/>
        <v>0</v>
      </c>
      <c r="AE190" s="1338">
        <f t="shared" si="101"/>
        <v>0</v>
      </c>
      <c r="AF190" s="1339">
        <f t="shared" si="102"/>
        <v>0</v>
      </c>
      <c r="AG190" s="1339">
        <f t="shared" si="103"/>
        <v>0</v>
      </c>
      <c r="AH190" s="1280">
        <f t="shared" si="109"/>
        <v>0</v>
      </c>
      <c r="AI190" s="1340">
        <f t="shared" si="110"/>
        <v>0</v>
      </c>
      <c r="AJ190" s="245"/>
      <c r="AK190" s="245"/>
      <c r="AL190" s="245"/>
      <c r="AM190" s="245"/>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4"/>
        <v>0</v>
      </c>
      <c r="N191" s="316">
        <f t="shared" si="105"/>
        <v>0</v>
      </c>
      <c r="O191" s="362">
        <v>0</v>
      </c>
      <c r="P191" s="363">
        <v>0</v>
      </c>
      <c r="Q191" s="363">
        <v>0</v>
      </c>
      <c r="R191" s="363">
        <v>0</v>
      </c>
      <c r="S191" s="363">
        <v>0</v>
      </c>
      <c r="T191" s="363">
        <v>0</v>
      </c>
      <c r="U191" s="363">
        <v>0</v>
      </c>
      <c r="V191" s="363">
        <v>0</v>
      </c>
      <c r="W191" s="363">
        <v>0</v>
      </c>
      <c r="X191" s="363">
        <v>0</v>
      </c>
      <c r="Y191" s="398">
        <v>0</v>
      </c>
      <c r="Z191" s="314">
        <f t="shared" si="106"/>
        <v>0</v>
      </c>
      <c r="AA191" s="316">
        <f t="shared" si="107"/>
        <v>0</v>
      </c>
      <c r="AB191" s="1054">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1055">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334">
        <f t="shared" si="108"/>
        <v>0</v>
      </c>
      <c r="AE191" s="1338">
        <f t="shared" si="101"/>
        <v>0</v>
      </c>
      <c r="AF191" s="1339">
        <f t="shared" si="102"/>
        <v>0</v>
      </c>
      <c r="AG191" s="1339">
        <f t="shared" si="103"/>
        <v>0</v>
      </c>
      <c r="AH191" s="1280">
        <f t="shared" si="109"/>
        <v>0</v>
      </c>
      <c r="AI191" s="1340">
        <f t="shared" si="110"/>
        <v>0</v>
      </c>
      <c r="AJ191" s="245"/>
      <c r="AK191" s="245"/>
      <c r="AL191" s="245"/>
      <c r="AM191" s="245"/>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4"/>
        <v>0</v>
      </c>
      <c r="N192" s="316">
        <f t="shared" si="105"/>
        <v>0</v>
      </c>
      <c r="O192" s="362">
        <v>0</v>
      </c>
      <c r="P192" s="363">
        <v>0</v>
      </c>
      <c r="Q192" s="363">
        <v>0</v>
      </c>
      <c r="R192" s="363">
        <v>0</v>
      </c>
      <c r="S192" s="363">
        <v>0</v>
      </c>
      <c r="T192" s="363">
        <v>0</v>
      </c>
      <c r="U192" s="363">
        <v>0</v>
      </c>
      <c r="V192" s="363">
        <v>0</v>
      </c>
      <c r="W192" s="363">
        <v>0</v>
      </c>
      <c r="X192" s="363">
        <v>0</v>
      </c>
      <c r="Y192" s="398">
        <v>0</v>
      </c>
      <c r="Z192" s="314">
        <f t="shared" si="106"/>
        <v>0</v>
      </c>
      <c r="AA192" s="316">
        <f t="shared" si="107"/>
        <v>0</v>
      </c>
      <c r="AB192" s="1054">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1055">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334">
        <f t="shared" si="108"/>
        <v>0</v>
      </c>
      <c r="AE192" s="1338">
        <f t="shared" si="101"/>
        <v>0</v>
      </c>
      <c r="AF192" s="1339">
        <f t="shared" si="102"/>
        <v>0</v>
      </c>
      <c r="AG192" s="1339">
        <f t="shared" si="103"/>
        <v>0</v>
      </c>
      <c r="AH192" s="1280">
        <f t="shared" si="109"/>
        <v>0</v>
      </c>
      <c r="AI192" s="1340">
        <f t="shared" si="110"/>
        <v>0</v>
      </c>
      <c r="AJ192" s="245"/>
      <c r="AK192" s="245"/>
      <c r="AL192" s="245"/>
      <c r="AM192" s="245"/>
    </row>
    <row r="193" spans="1:39"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4"/>
        <v>0</v>
      </c>
      <c r="N193" s="330">
        <f t="shared" si="105"/>
        <v>0</v>
      </c>
      <c r="O193" s="364">
        <v>0</v>
      </c>
      <c r="P193" s="365">
        <v>0</v>
      </c>
      <c r="Q193" s="365">
        <v>0</v>
      </c>
      <c r="R193" s="365">
        <v>0</v>
      </c>
      <c r="S193" s="365">
        <v>0</v>
      </c>
      <c r="T193" s="365">
        <v>0</v>
      </c>
      <c r="U193" s="365">
        <v>0</v>
      </c>
      <c r="V193" s="365">
        <v>0</v>
      </c>
      <c r="W193" s="365">
        <v>0</v>
      </c>
      <c r="X193" s="365">
        <v>0</v>
      </c>
      <c r="Y193" s="399">
        <v>0</v>
      </c>
      <c r="Z193" s="328">
        <f t="shared" si="106"/>
        <v>0</v>
      </c>
      <c r="AA193" s="330">
        <f t="shared" si="107"/>
        <v>0</v>
      </c>
      <c r="AB193" s="1054">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1055">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334">
        <f t="shared" si="108"/>
        <v>0</v>
      </c>
      <c r="AE193" s="1338">
        <f t="shared" si="101"/>
        <v>0</v>
      </c>
      <c r="AF193" s="1339">
        <f t="shared" si="102"/>
        <v>0</v>
      </c>
      <c r="AG193" s="1339">
        <f t="shared" si="103"/>
        <v>0</v>
      </c>
      <c r="AH193" s="1280">
        <f t="shared" si="109"/>
        <v>0</v>
      </c>
      <c r="AI193" s="1340">
        <f t="shared" si="110"/>
        <v>0</v>
      </c>
      <c r="AJ193" s="245"/>
      <c r="AK193" s="245"/>
      <c r="AL193" s="245"/>
      <c r="AM193" s="245"/>
    </row>
    <row r="194" spans="1:39" x14ac:dyDescent="0.2">
      <c r="A194" s="347">
        <v>2021</v>
      </c>
      <c r="B194" s="360">
        <v>0</v>
      </c>
      <c r="C194" s="361">
        <v>0</v>
      </c>
      <c r="D194" s="361">
        <v>0</v>
      </c>
      <c r="E194" s="361">
        <v>0</v>
      </c>
      <c r="F194" s="361">
        <v>0</v>
      </c>
      <c r="G194" s="361">
        <v>0</v>
      </c>
      <c r="H194" s="361">
        <v>0</v>
      </c>
      <c r="I194" s="361">
        <v>0</v>
      </c>
      <c r="J194" s="361">
        <v>0</v>
      </c>
      <c r="K194" s="361">
        <v>0</v>
      </c>
      <c r="L194" s="397">
        <v>0</v>
      </c>
      <c r="M194" s="300">
        <f t="shared" si="104"/>
        <v>0</v>
      </c>
      <c r="N194" s="302">
        <f t="shared" si="105"/>
        <v>0</v>
      </c>
      <c r="O194" s="360">
        <v>0</v>
      </c>
      <c r="P194" s="361">
        <v>0</v>
      </c>
      <c r="Q194" s="361">
        <v>0</v>
      </c>
      <c r="R194" s="361">
        <v>0</v>
      </c>
      <c r="S194" s="361">
        <v>0</v>
      </c>
      <c r="T194" s="361">
        <v>0</v>
      </c>
      <c r="U194" s="361">
        <v>0</v>
      </c>
      <c r="V194" s="361">
        <v>0</v>
      </c>
      <c r="W194" s="361">
        <v>0</v>
      </c>
      <c r="X194" s="361">
        <v>0</v>
      </c>
      <c r="Y194" s="397">
        <v>0</v>
      </c>
      <c r="Z194" s="300">
        <f t="shared" si="106"/>
        <v>0</v>
      </c>
      <c r="AA194" s="302">
        <f t="shared" si="107"/>
        <v>0</v>
      </c>
      <c r="AB194" s="1054">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1055">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334">
        <f t="shared" si="108"/>
        <v>0</v>
      </c>
      <c r="AE194" s="1338">
        <f t="shared" si="101"/>
        <v>0</v>
      </c>
      <c r="AF194" s="1339">
        <f t="shared" si="102"/>
        <v>0</v>
      </c>
      <c r="AG194" s="1339">
        <f t="shared" si="103"/>
        <v>0</v>
      </c>
      <c r="AH194" s="1280">
        <f t="shared" si="109"/>
        <v>0</v>
      </c>
      <c r="AI194" s="1340">
        <f t="shared" si="110"/>
        <v>0</v>
      </c>
      <c r="AJ194" s="245"/>
      <c r="AK194" s="245"/>
      <c r="AL194" s="245"/>
      <c r="AM194" s="245"/>
    </row>
    <row r="195" spans="1:39" x14ac:dyDescent="0.2">
      <c r="A195" s="348">
        <v>2022</v>
      </c>
      <c r="B195" s="362">
        <v>0</v>
      </c>
      <c r="C195" s="363">
        <v>0</v>
      </c>
      <c r="D195" s="363">
        <v>1.0840808347148481E-3</v>
      </c>
      <c r="E195" s="363">
        <v>5.8534646864745708E-3</v>
      </c>
      <c r="F195" s="363">
        <v>8.8251890787291749E-3</v>
      </c>
      <c r="G195" s="363">
        <v>1.0597792527755688E-2</v>
      </c>
      <c r="H195" s="363">
        <v>1.3002805672681826E-2</v>
      </c>
      <c r="I195" s="363">
        <v>1.365737981435261E-2</v>
      </c>
      <c r="J195" s="363">
        <v>1.4229907541410422E-2</v>
      </c>
      <c r="K195" s="363">
        <v>1.4722085649601493E-2</v>
      </c>
      <c r="L195" s="398">
        <v>1.4722085649601493E-2</v>
      </c>
      <c r="M195" s="314">
        <f t="shared" si="104"/>
        <v>7.9970728526819121E-4</v>
      </c>
      <c r="N195" s="316">
        <f t="shared" si="105"/>
        <v>2.6310876684986487E-4</v>
      </c>
      <c r="O195" s="362">
        <v>0</v>
      </c>
      <c r="P195" s="363">
        <v>0</v>
      </c>
      <c r="Q195" s="363">
        <v>1.6962001217908668E-3</v>
      </c>
      <c r="R195" s="363">
        <v>6.7073389797279882E-3</v>
      </c>
      <c r="S195" s="363">
        <v>9.7500265697792361E-3</v>
      </c>
      <c r="T195" s="363">
        <v>1.1473125354666453E-2</v>
      </c>
      <c r="U195" s="363">
        <v>1.3002805672681826E-2</v>
      </c>
      <c r="V195" s="363">
        <v>1.3977223941981807E-2</v>
      </c>
      <c r="W195" s="363">
        <v>1.4493775728707725E-2</v>
      </c>
      <c r="X195" s="363">
        <v>1.4488973742790285E-2</v>
      </c>
      <c r="Y195" s="398">
        <v>1.4922216210263864E-2</v>
      </c>
      <c r="Z195" s="314">
        <f t="shared" si="106"/>
        <v>1.4416884852433546E-3</v>
      </c>
      <c r="AA195" s="316">
        <f t="shared" si="107"/>
        <v>4.2883361539026012E-4</v>
      </c>
      <c r="AB195" s="1054">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1055">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334">
        <f t="shared" si="108"/>
        <v>0</v>
      </c>
      <c r="AE195" s="1338">
        <f>SUMPRODUCT($B$74:$L$74,B195:L195)</f>
        <v>7.9970728526819121E-4</v>
      </c>
      <c r="AF195" s="1339">
        <f>SUMPRODUCT($O$74:$Y$74,O195:Y195)</f>
        <v>1.4416884852433546E-3</v>
      </c>
      <c r="AG195" s="1339">
        <f>SUM(AE195:AF195)</f>
        <v>2.2413957705115458E-3</v>
      </c>
      <c r="AH195" s="1280">
        <f t="shared" si="109"/>
        <v>0.35678986093815857</v>
      </c>
      <c r="AI195" s="1340">
        <f t="shared" si="110"/>
        <v>0.64321013906184143</v>
      </c>
      <c r="AJ195" s="245"/>
      <c r="AK195" s="245"/>
      <c r="AL195" s="245"/>
      <c r="AM195" s="245"/>
    </row>
    <row r="196" spans="1:39" x14ac:dyDescent="0.2">
      <c r="A196" s="348">
        <v>2023</v>
      </c>
      <c r="B196" s="362">
        <v>0</v>
      </c>
      <c r="C196" s="363">
        <v>2.0872121207863465E-5</v>
      </c>
      <c r="D196" s="363">
        <v>6.0286934258383731E-3</v>
      </c>
      <c r="E196" s="363">
        <v>2.03261500945453E-2</v>
      </c>
      <c r="F196" s="363">
        <v>2.7143080143509506E-2</v>
      </c>
      <c r="G196" s="363">
        <v>3.0427030781822476E-2</v>
      </c>
      <c r="H196" s="363">
        <v>3.4775696101231733E-2</v>
      </c>
      <c r="I196" s="363">
        <v>3.612780353448268E-2</v>
      </c>
      <c r="J196" s="363">
        <v>3.6640079922235134E-2</v>
      </c>
      <c r="K196" s="363">
        <v>3.7627319978568108E-2</v>
      </c>
      <c r="L196" s="398">
        <v>3.7627319978568108E-2</v>
      </c>
      <c r="M196" s="314">
        <f t="shared" si="104"/>
        <v>2.7013535703298412E-3</v>
      </c>
      <c r="N196" s="316">
        <f t="shared" si="105"/>
        <v>9.7008009573676293E-4</v>
      </c>
      <c r="O196" s="362">
        <v>0</v>
      </c>
      <c r="P196" s="363">
        <v>4.366208986678932E-5</v>
      </c>
      <c r="Q196" s="363">
        <v>8.8319212095725429E-3</v>
      </c>
      <c r="R196" s="363">
        <v>2.2700498086809014E-2</v>
      </c>
      <c r="S196" s="363">
        <v>2.8254933384370188E-2</v>
      </c>
      <c r="T196" s="363">
        <v>3.2410745619054042E-2</v>
      </c>
      <c r="U196" s="363">
        <v>3.4581429312600269E-2</v>
      </c>
      <c r="V196" s="363">
        <v>3.5975010951778782E-2</v>
      </c>
      <c r="W196" s="363">
        <v>3.7123851188968542E-2</v>
      </c>
      <c r="X196" s="363">
        <v>3.7627319978568108E-2</v>
      </c>
      <c r="Y196" s="398">
        <v>3.8032319367012381E-2</v>
      </c>
      <c r="Z196" s="314">
        <f t="shared" si="106"/>
        <v>4.5255458545259957E-3</v>
      </c>
      <c r="AA196" s="316">
        <f t="shared" si="107"/>
        <v>1.4750234331418447E-3</v>
      </c>
      <c r="AB196" s="1054">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1055">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334">
        <f t="shared" si="108"/>
        <v>0</v>
      </c>
      <c r="AE196" s="1338">
        <f t="shared" ref="AE196:AE223" si="111">SUMPRODUCT($B$74:$L$74,B196:L196)</f>
        <v>2.7013535703298412E-3</v>
      </c>
      <c r="AF196" s="1339">
        <f t="shared" ref="AF196:AF223" si="112">SUMPRODUCT($O$74:$Y$74,O196:Y196)</f>
        <v>4.5255458545259957E-3</v>
      </c>
      <c r="AG196" s="1339">
        <f t="shared" ref="AG196:AG223" si="113">SUM(AE196:AF196)</f>
        <v>7.2268994248558364E-3</v>
      </c>
      <c r="AH196" s="1280">
        <f t="shared" si="109"/>
        <v>0.37379149916476501</v>
      </c>
      <c r="AI196" s="1340">
        <f t="shared" si="110"/>
        <v>0.62620850083523505</v>
      </c>
      <c r="AJ196" s="245"/>
      <c r="AK196" s="245"/>
      <c r="AL196" s="245"/>
      <c r="AM196" s="245"/>
    </row>
    <row r="197" spans="1:39" x14ac:dyDescent="0.2">
      <c r="A197" s="348">
        <v>2024</v>
      </c>
      <c r="B197" s="362">
        <v>0</v>
      </c>
      <c r="C197" s="363">
        <v>4.7313603294005545E-4</v>
      </c>
      <c r="D197" s="363">
        <v>2.6242027227839304E-2</v>
      </c>
      <c r="E197" s="363">
        <v>5.7834097228348084E-2</v>
      </c>
      <c r="F197" s="363">
        <v>6.9149953538416672E-2</v>
      </c>
      <c r="G197" s="363">
        <v>7.5287231422170267E-2</v>
      </c>
      <c r="H197" s="363">
        <v>8.2009085360883346E-2</v>
      </c>
      <c r="I197" s="363">
        <v>8.3238779350409506E-2</v>
      </c>
      <c r="J197" s="363">
        <v>8.5355128425110838E-2</v>
      </c>
      <c r="K197" s="363">
        <v>8.6055140914455361E-2</v>
      </c>
      <c r="L197" s="398">
        <v>8.6055140914455361E-2</v>
      </c>
      <c r="M197" s="314">
        <f t="shared" si="104"/>
        <v>8.0536503326436165E-3</v>
      </c>
      <c r="N197" s="316">
        <f t="shared" si="105"/>
        <v>3.1650796742471016E-3</v>
      </c>
      <c r="O197" s="362">
        <v>0</v>
      </c>
      <c r="P197" s="363">
        <v>7.3404031430327247E-4</v>
      </c>
      <c r="Q197" s="363">
        <v>3.3011011720349787E-2</v>
      </c>
      <c r="R197" s="363">
        <v>5.9675967350478046E-2</v>
      </c>
      <c r="S197" s="363">
        <v>7.0776088471797727E-2</v>
      </c>
      <c r="T197" s="363">
        <v>7.7288217871691392E-2</v>
      </c>
      <c r="U197" s="363">
        <v>8.2009085360883346E-2</v>
      </c>
      <c r="V197" s="363">
        <v>8.4216591812777131E-2</v>
      </c>
      <c r="W197" s="363">
        <v>8.6055140914455361E-2</v>
      </c>
      <c r="X197" s="363">
        <v>8.6055140914455361E-2</v>
      </c>
      <c r="Y197" s="398">
        <v>8.7224485380019479E-2</v>
      </c>
      <c r="Z197" s="314">
        <f t="shared" si="106"/>
        <v>1.2297853087263477E-2</v>
      </c>
      <c r="AA197" s="316">
        <f t="shared" si="107"/>
        <v>4.3693397744378184E-3</v>
      </c>
      <c r="AB197" s="1054">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1055">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334">
        <f t="shared" si="108"/>
        <v>0</v>
      </c>
      <c r="AE197" s="1338">
        <f t="shared" si="111"/>
        <v>8.0536503326436165E-3</v>
      </c>
      <c r="AF197" s="1339">
        <f t="shared" si="112"/>
        <v>1.2297853087263477E-2</v>
      </c>
      <c r="AG197" s="1339">
        <f t="shared" si="113"/>
        <v>2.0351503419907095E-2</v>
      </c>
      <c r="AH197" s="1280">
        <f t="shared" si="109"/>
        <v>0.39572753749316775</v>
      </c>
      <c r="AI197" s="1340">
        <f t="shared" si="110"/>
        <v>0.6042724625068322</v>
      </c>
      <c r="AJ197" s="245"/>
      <c r="AK197" s="245"/>
      <c r="AL197" s="245"/>
      <c r="AM197" s="245"/>
    </row>
    <row r="198" spans="1:39" ht="13.5" thickBot="1" x14ac:dyDescent="0.25">
      <c r="A198" s="346">
        <v>2025</v>
      </c>
      <c r="B198" s="364">
        <v>0</v>
      </c>
      <c r="C198" s="365">
        <v>4.8638014689553139E-3</v>
      </c>
      <c r="D198" s="365">
        <v>7.0602441622213366E-2</v>
      </c>
      <c r="E198" s="365">
        <v>0.1209910689887727</v>
      </c>
      <c r="F198" s="365">
        <v>0.13767549244811988</v>
      </c>
      <c r="G198" s="365">
        <v>0.14787500935788075</v>
      </c>
      <c r="H198" s="365">
        <v>0.15812029381654011</v>
      </c>
      <c r="I198" s="365">
        <v>0.15972922324303487</v>
      </c>
      <c r="J198" s="365">
        <v>0.16081352215621803</v>
      </c>
      <c r="K198" s="365">
        <v>0.16170840294695274</v>
      </c>
      <c r="L198" s="399">
        <v>0.16170840294695274</v>
      </c>
      <c r="M198" s="328">
        <f t="shared" si="104"/>
        <v>1.8411131315034544E-2</v>
      </c>
      <c r="N198" s="330">
        <f t="shared" si="105"/>
        <v>7.8714691928960349E-3</v>
      </c>
      <c r="O198" s="364">
        <v>0</v>
      </c>
      <c r="P198" s="365">
        <v>7.4486274544024924E-3</v>
      </c>
      <c r="Q198" s="365">
        <v>8.0516606459450898E-2</v>
      </c>
      <c r="R198" s="365">
        <v>0.12589562508306684</v>
      </c>
      <c r="S198" s="365">
        <v>0.14184919255790943</v>
      </c>
      <c r="T198" s="365">
        <v>0.15112418874170189</v>
      </c>
      <c r="U198" s="365">
        <v>0.15812029381654011</v>
      </c>
      <c r="V198" s="365">
        <v>0.15972922324303487</v>
      </c>
      <c r="W198" s="365">
        <v>0.16215112689312189</v>
      </c>
      <c r="X198" s="365">
        <v>0.16170327656620256</v>
      </c>
      <c r="Y198" s="399">
        <v>0.16237725306027195</v>
      </c>
      <c r="Z198" s="328">
        <f t="shared" si="106"/>
        <v>2.7439299219265939E-2</v>
      </c>
      <c r="AA198" s="330">
        <f t="shared" si="107"/>
        <v>1.1022457610459419E-2</v>
      </c>
      <c r="AB198" s="1054">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1055">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334">
        <f t="shared" si="108"/>
        <v>0</v>
      </c>
      <c r="AE198" s="1338">
        <f t="shared" si="111"/>
        <v>1.8411131315034544E-2</v>
      </c>
      <c r="AF198" s="1339">
        <f t="shared" si="112"/>
        <v>2.7439299219265939E-2</v>
      </c>
      <c r="AG198" s="1339">
        <f t="shared" si="113"/>
        <v>4.5850430534300483E-2</v>
      </c>
      <c r="AH198" s="1280">
        <f t="shared" si="109"/>
        <v>0.40154762126521948</v>
      </c>
      <c r="AI198" s="1340">
        <f t="shared" si="110"/>
        <v>0.59845237873478052</v>
      </c>
      <c r="AJ198" s="245"/>
      <c r="AK198" s="245"/>
      <c r="AL198" s="245"/>
      <c r="AM198" s="245"/>
    </row>
    <row r="199" spans="1:39" x14ac:dyDescent="0.2">
      <c r="A199" s="347">
        <v>2026</v>
      </c>
      <c r="B199" s="360">
        <v>0</v>
      </c>
      <c r="C199" s="361">
        <v>1.3687977405162711E-2</v>
      </c>
      <c r="D199" s="361">
        <v>0.11514400795121871</v>
      </c>
      <c r="E199" s="361">
        <v>0.184220666821625</v>
      </c>
      <c r="F199" s="361">
        <v>0.20531778170794066</v>
      </c>
      <c r="G199" s="361">
        <v>0.21938888577482538</v>
      </c>
      <c r="H199" s="361">
        <v>0.23011400505236235</v>
      </c>
      <c r="I199" s="361">
        <v>0.23274964213761828</v>
      </c>
      <c r="J199" s="361">
        <v>0.23465398137502477</v>
      </c>
      <c r="K199" s="361">
        <v>0.23759626526511485</v>
      </c>
      <c r="L199" s="397">
        <v>0.23759626526511485</v>
      </c>
      <c r="M199" s="300">
        <f t="shared" si="104"/>
        <v>2.9376226677068074E-2</v>
      </c>
      <c r="N199" s="302">
        <f t="shared" si="105"/>
        <v>1.3197567211228688E-2</v>
      </c>
      <c r="O199" s="360">
        <v>0</v>
      </c>
      <c r="P199" s="361">
        <v>2.0115407133608817E-2</v>
      </c>
      <c r="Q199" s="361">
        <v>0.13013210012707052</v>
      </c>
      <c r="R199" s="361">
        <v>0.19488798562277385</v>
      </c>
      <c r="S199" s="361">
        <v>0.20889273416672594</v>
      </c>
      <c r="T199" s="361">
        <v>0.22394939325452468</v>
      </c>
      <c r="U199" s="361">
        <v>0.23011400505236235</v>
      </c>
      <c r="V199" s="361">
        <v>0.23529863910941012</v>
      </c>
      <c r="W199" s="361">
        <v>0.23651643932011276</v>
      </c>
      <c r="X199" s="361">
        <v>0.23744809987341536</v>
      </c>
      <c r="Y199" s="397">
        <v>0.23617955964856729</v>
      </c>
      <c r="Z199" s="300">
        <f t="shared" si="106"/>
        <v>4.4362735670039406E-2</v>
      </c>
      <c r="AA199" s="302">
        <f t="shared" si="107"/>
        <v>1.93196132495525E-2</v>
      </c>
      <c r="AB199" s="1054">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1055">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334">
        <f t="shared" si="108"/>
        <v>0</v>
      </c>
      <c r="AE199" s="1338">
        <f t="shared" si="111"/>
        <v>2.9376226677068074E-2</v>
      </c>
      <c r="AF199" s="1339">
        <f t="shared" si="112"/>
        <v>4.4362735670039406E-2</v>
      </c>
      <c r="AG199" s="1339">
        <f t="shared" si="113"/>
        <v>7.3738962347107473E-2</v>
      </c>
      <c r="AH199" s="1280">
        <f t="shared" si="109"/>
        <v>0.39838134063762565</v>
      </c>
      <c r="AI199" s="1340">
        <f t="shared" si="110"/>
        <v>0.60161865936237446</v>
      </c>
      <c r="AJ199" s="245"/>
      <c r="AK199" s="245"/>
      <c r="AL199" s="245"/>
      <c r="AM199" s="245"/>
    </row>
    <row r="200" spans="1:39" x14ac:dyDescent="0.2">
      <c r="A200" s="348">
        <v>2027</v>
      </c>
      <c r="B200" s="362">
        <v>0</v>
      </c>
      <c r="C200" s="363">
        <v>2.876313412613743E-2</v>
      </c>
      <c r="D200" s="363">
        <v>0.15394665139899044</v>
      </c>
      <c r="E200" s="363">
        <v>0.23200132978503654</v>
      </c>
      <c r="F200" s="363">
        <v>0.25821443141839995</v>
      </c>
      <c r="G200" s="363">
        <v>0.27001400624330057</v>
      </c>
      <c r="H200" s="363">
        <v>0.28062093921854236</v>
      </c>
      <c r="I200" s="363">
        <v>0.28362856148461907</v>
      </c>
      <c r="J200" s="363">
        <v>0.28466742354828695</v>
      </c>
      <c r="K200" s="363">
        <v>0.28334288898759979</v>
      </c>
      <c r="L200" s="398">
        <v>0.28334288898759979</v>
      </c>
      <c r="M200" s="314">
        <f t="shared" si="104"/>
        <v>3.9320675204200697E-2</v>
      </c>
      <c r="N200" s="316">
        <f t="shared" si="105"/>
        <v>1.8667208322036357E-2</v>
      </c>
      <c r="O200" s="362">
        <v>0</v>
      </c>
      <c r="P200" s="363">
        <v>3.661164676021262E-2</v>
      </c>
      <c r="Q200" s="363">
        <v>0.16880232707154139</v>
      </c>
      <c r="R200" s="363">
        <v>0.24004126316258528</v>
      </c>
      <c r="S200" s="363">
        <v>0.25858313313178599</v>
      </c>
      <c r="T200" s="363">
        <v>0.27313221981528746</v>
      </c>
      <c r="U200" s="363">
        <v>0.28059935139827685</v>
      </c>
      <c r="V200" s="363">
        <v>0.28482129172488035</v>
      </c>
      <c r="W200" s="363">
        <v>0.28433905608077054</v>
      </c>
      <c r="X200" s="363">
        <v>0.28249942335457628</v>
      </c>
      <c r="Y200" s="398">
        <v>0.27705168219071785</v>
      </c>
      <c r="Z200" s="314">
        <f t="shared" si="106"/>
        <v>5.8345379185826857E-2</v>
      </c>
      <c r="AA200" s="316">
        <f t="shared" si="107"/>
        <v>2.718728901008129E-2</v>
      </c>
      <c r="AB200" s="1054">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1055">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334">
        <f t="shared" si="108"/>
        <v>0</v>
      </c>
      <c r="AE200" s="1338">
        <f t="shared" si="111"/>
        <v>3.9320675204200697E-2</v>
      </c>
      <c r="AF200" s="1339">
        <f t="shared" si="112"/>
        <v>5.8345379185826857E-2</v>
      </c>
      <c r="AG200" s="1339">
        <f t="shared" si="113"/>
        <v>9.7666054390027554E-2</v>
      </c>
      <c r="AH200" s="1280">
        <f t="shared" si="109"/>
        <v>0.40260329394667999</v>
      </c>
      <c r="AI200" s="1340">
        <f t="shared" si="110"/>
        <v>0.59739670605332007</v>
      </c>
      <c r="AJ200" s="245"/>
      <c r="AK200" s="245"/>
      <c r="AL200" s="245"/>
      <c r="AM200" s="245"/>
    </row>
    <row r="201" spans="1:39" x14ac:dyDescent="0.2">
      <c r="A201" s="348">
        <v>2028</v>
      </c>
      <c r="B201" s="362">
        <v>0</v>
      </c>
      <c r="C201" s="363">
        <v>4.1870164986102187E-2</v>
      </c>
      <c r="D201" s="363">
        <v>0.1787083240207433</v>
      </c>
      <c r="E201" s="363">
        <v>0.2597915823568499</v>
      </c>
      <c r="F201" s="363">
        <v>0.28627299460384859</v>
      </c>
      <c r="G201" s="363">
        <v>0.29559488964193636</v>
      </c>
      <c r="H201" s="363">
        <v>0.30667061023821485</v>
      </c>
      <c r="I201" s="363">
        <v>0.30723486631784952</v>
      </c>
      <c r="J201" s="363">
        <v>0.30509502318420384</v>
      </c>
      <c r="K201" s="363">
        <v>0.29834696033611313</v>
      </c>
      <c r="L201" s="398">
        <v>0.29834696033611313</v>
      </c>
      <c r="M201" s="314">
        <f t="shared" si="104"/>
        <v>4.5801889580288552E-2</v>
      </c>
      <c r="N201" s="316">
        <f t="shared" si="105"/>
        <v>2.2539870069826665E-2</v>
      </c>
      <c r="O201" s="362">
        <v>0</v>
      </c>
      <c r="P201" s="363">
        <v>5.1218475299540239E-2</v>
      </c>
      <c r="Q201" s="363">
        <v>0.2021189272489026</v>
      </c>
      <c r="R201" s="363">
        <v>0.26461602610987778</v>
      </c>
      <c r="S201" s="363">
        <v>0.28405175923454312</v>
      </c>
      <c r="T201" s="363">
        <v>0.30023849692215515</v>
      </c>
      <c r="U201" s="363">
        <v>0.30616280757226083</v>
      </c>
      <c r="V201" s="363">
        <v>0.30466784907957301</v>
      </c>
      <c r="W201" s="363">
        <v>0.30070193868417966</v>
      </c>
      <c r="X201" s="363">
        <v>0.29720776909883823</v>
      </c>
      <c r="Y201" s="398">
        <v>0.28753882729747443</v>
      </c>
      <c r="Z201" s="314">
        <f t="shared" si="106"/>
        <v>6.8251013316110692E-2</v>
      </c>
      <c r="AA201" s="316">
        <f t="shared" si="107"/>
        <v>3.3434120361504491E-2</v>
      </c>
      <c r="AB201" s="1054">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1055">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334">
        <f t="shared" si="108"/>
        <v>0</v>
      </c>
      <c r="AE201" s="1338">
        <f t="shared" si="111"/>
        <v>4.5801889580288552E-2</v>
      </c>
      <c r="AF201" s="1339">
        <f t="shared" si="112"/>
        <v>6.8251013316110692E-2</v>
      </c>
      <c r="AG201" s="1339">
        <f t="shared" si="113"/>
        <v>0.11405290289639924</v>
      </c>
      <c r="AH201" s="1280">
        <f t="shared" si="109"/>
        <v>0.40158460168166887</v>
      </c>
      <c r="AI201" s="1340">
        <f t="shared" si="110"/>
        <v>0.59841539831833113</v>
      </c>
      <c r="AJ201" s="245"/>
      <c r="AK201" s="245"/>
      <c r="AL201" s="245"/>
      <c r="AM201" s="245"/>
    </row>
    <row r="202" spans="1:39" x14ac:dyDescent="0.2">
      <c r="A202" s="348">
        <v>2029</v>
      </c>
      <c r="B202" s="362">
        <v>0</v>
      </c>
      <c r="C202" s="363">
        <v>6.2226850993089743E-2</v>
      </c>
      <c r="D202" s="363">
        <v>0.20422202437547163</v>
      </c>
      <c r="E202" s="363">
        <v>0.27298482324891665</v>
      </c>
      <c r="F202" s="363">
        <v>0.29906426361114324</v>
      </c>
      <c r="G202" s="363">
        <v>0.31129159892112662</v>
      </c>
      <c r="H202" s="363">
        <v>0.3106263109751376</v>
      </c>
      <c r="I202" s="363">
        <v>0.30857558296681192</v>
      </c>
      <c r="J202" s="363">
        <v>0.30145695610851547</v>
      </c>
      <c r="K202" s="363">
        <v>0.29215473490573912</v>
      </c>
      <c r="L202" s="398">
        <v>0.29215473490573912</v>
      </c>
      <c r="M202" s="314">
        <f t="shared" si="104"/>
        <v>5.2047929685313063E-2</v>
      </c>
      <c r="N202" s="316">
        <f t="shared" si="105"/>
        <v>2.7043032688176302E-2</v>
      </c>
      <c r="O202" s="362">
        <v>0</v>
      </c>
      <c r="P202" s="363">
        <v>7.26666194761761E-2</v>
      </c>
      <c r="Q202" s="363">
        <v>0.22048987100228876</v>
      </c>
      <c r="R202" s="363">
        <v>0.28120460176401796</v>
      </c>
      <c r="S202" s="363">
        <v>0.30140346705086746</v>
      </c>
      <c r="T202" s="363">
        <v>0.31259450123736271</v>
      </c>
      <c r="U202" s="363">
        <v>0.30859360239124972</v>
      </c>
      <c r="V202" s="363">
        <v>0.30427464548448468</v>
      </c>
      <c r="W202" s="363">
        <v>0.29570277959147001</v>
      </c>
      <c r="X202" s="363">
        <v>0.29031961956326996</v>
      </c>
      <c r="Y202" s="398">
        <v>0.28086396156433563</v>
      </c>
      <c r="Z202" s="314">
        <f t="shared" si="106"/>
        <v>7.7002753680022268E-2</v>
      </c>
      <c r="AA202" s="316">
        <f t="shared" si="107"/>
        <v>4.028667691523747E-2</v>
      </c>
      <c r="AB202" s="1054">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1055">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334">
        <f t="shared" si="108"/>
        <v>0</v>
      </c>
      <c r="AE202" s="1338">
        <f t="shared" si="111"/>
        <v>5.2047929685313063E-2</v>
      </c>
      <c r="AF202" s="1339">
        <f t="shared" si="112"/>
        <v>7.7002753680022268E-2</v>
      </c>
      <c r="AG202" s="1339">
        <f t="shared" si="113"/>
        <v>0.12905068336533532</v>
      </c>
      <c r="AH202" s="1280">
        <f t="shared" si="109"/>
        <v>0.40331386342192599</v>
      </c>
      <c r="AI202" s="1340">
        <f t="shared" si="110"/>
        <v>0.59668613657807412</v>
      </c>
      <c r="AJ202" s="245"/>
      <c r="AK202" s="245"/>
      <c r="AL202" s="245"/>
      <c r="AM202" s="245"/>
    </row>
    <row r="203" spans="1:39" ht="13.5" thickBot="1" x14ac:dyDescent="0.25">
      <c r="A203" s="346">
        <v>2030</v>
      </c>
      <c r="B203" s="364">
        <v>0</v>
      </c>
      <c r="C203" s="365">
        <v>7.3566479918225056E-2</v>
      </c>
      <c r="D203" s="365">
        <v>0.21723615365382951</v>
      </c>
      <c r="E203" s="365">
        <v>0.28463018896626191</v>
      </c>
      <c r="F203" s="365">
        <v>0.30253227409795758</v>
      </c>
      <c r="G203" s="365">
        <v>0.3113285042254178</v>
      </c>
      <c r="H203" s="365">
        <v>0.30638041055284143</v>
      </c>
      <c r="I203" s="365">
        <v>0.298184985163095</v>
      </c>
      <c r="J203" s="365">
        <v>0.29031549324756845</v>
      </c>
      <c r="K203" s="365">
        <v>0.28066781291705106</v>
      </c>
      <c r="L203" s="399">
        <v>0.28066781291705106</v>
      </c>
      <c r="M203" s="328">
        <f t="shared" si="104"/>
        <v>5.5409060212681938E-2</v>
      </c>
      <c r="N203" s="330">
        <f t="shared" si="105"/>
        <v>2.9517266887616259E-2</v>
      </c>
      <c r="O203" s="364">
        <v>0</v>
      </c>
      <c r="P203" s="365">
        <v>8.7232656283640644E-2</v>
      </c>
      <c r="Q203" s="365">
        <v>0.23703099726007257</v>
      </c>
      <c r="R203" s="365">
        <v>0.29177246605571761</v>
      </c>
      <c r="S203" s="365">
        <v>0.30737720003902824</v>
      </c>
      <c r="T203" s="365">
        <v>0.31041073214626497</v>
      </c>
      <c r="U203" s="365">
        <v>0.30183746521970767</v>
      </c>
      <c r="V203" s="365">
        <v>0.29232278627525138</v>
      </c>
      <c r="W203" s="365">
        <v>0.28480907834410274</v>
      </c>
      <c r="X203" s="365">
        <v>0.28066781291705106</v>
      </c>
      <c r="Y203" s="399">
        <v>0.27273958853775349</v>
      </c>
      <c r="Z203" s="328">
        <f t="shared" si="106"/>
        <v>8.2596601742510128E-2</v>
      </c>
      <c r="AA203" s="330">
        <f t="shared" si="107"/>
        <v>4.4972405228034952E-2</v>
      </c>
      <c r="AB203" s="1054">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1055">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334">
        <f t="shared" si="108"/>
        <v>0</v>
      </c>
      <c r="AE203" s="1338">
        <f t="shared" si="111"/>
        <v>5.5409060212681938E-2</v>
      </c>
      <c r="AF203" s="1339">
        <f t="shared" si="112"/>
        <v>8.2596601742510128E-2</v>
      </c>
      <c r="AG203" s="1339">
        <f t="shared" si="113"/>
        <v>0.13800566195519207</v>
      </c>
      <c r="AH203" s="1280">
        <f t="shared" si="109"/>
        <v>0.4014984561334321</v>
      </c>
      <c r="AI203" s="1340">
        <f t="shared" si="110"/>
        <v>0.59850154386656795</v>
      </c>
      <c r="AJ203" s="245"/>
      <c r="AK203" s="245"/>
      <c r="AL203" s="245"/>
      <c r="AM203" s="245"/>
    </row>
    <row r="204" spans="1:39" x14ac:dyDescent="0.2">
      <c r="A204" s="347">
        <v>2031</v>
      </c>
      <c r="B204" s="360">
        <v>0</v>
      </c>
      <c r="C204" s="361">
        <v>8.0270254702881086E-2</v>
      </c>
      <c r="D204" s="361">
        <v>0.22742555398373437</v>
      </c>
      <c r="E204" s="361">
        <v>0.28553818456961699</v>
      </c>
      <c r="F204" s="361">
        <v>0.30496052315578132</v>
      </c>
      <c r="G204" s="361">
        <v>0.30849088712086198</v>
      </c>
      <c r="H204" s="361">
        <v>0.29865668826605818</v>
      </c>
      <c r="I204" s="361">
        <v>0.29231416289768741</v>
      </c>
      <c r="J204" s="361">
        <v>0.28389744697779096</v>
      </c>
      <c r="K204" s="361">
        <v>0.27613969684666456</v>
      </c>
      <c r="L204" s="397">
        <v>0.27613969684666456</v>
      </c>
      <c r="M204" s="300">
        <f t="shared" si="104"/>
        <v>5.7285000805322617E-2</v>
      </c>
      <c r="N204" s="302">
        <f t="shared" si="105"/>
        <v>3.0990009047344169E-2</v>
      </c>
      <c r="O204" s="360">
        <v>0</v>
      </c>
      <c r="P204" s="361">
        <v>8.5343518346268382E-2</v>
      </c>
      <c r="Q204" s="361">
        <v>0.23428893654264488</v>
      </c>
      <c r="R204" s="361">
        <v>0.2924406876234415</v>
      </c>
      <c r="S204" s="361">
        <v>0.30538530296419181</v>
      </c>
      <c r="T204" s="361">
        <v>0.30359480120810317</v>
      </c>
      <c r="U204" s="361">
        <v>0.29487686714702943</v>
      </c>
      <c r="V204" s="361">
        <v>0.28602842158987035</v>
      </c>
      <c r="W204" s="361">
        <v>0.27820462905100346</v>
      </c>
      <c r="X204" s="361">
        <v>0.27412220654345298</v>
      </c>
      <c r="Y204" s="397">
        <v>0.26847992865211018</v>
      </c>
      <c r="Z204" s="300">
        <f t="shared" si="106"/>
        <v>8.1494166677464008E-2</v>
      </c>
      <c r="AA204" s="302">
        <f t="shared" si="107"/>
        <v>4.4290710848615522E-2</v>
      </c>
      <c r="AB204" s="1054">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1055">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334">
        <f t="shared" si="108"/>
        <v>0</v>
      </c>
      <c r="AE204" s="1338">
        <f t="shared" si="111"/>
        <v>5.7285000805322617E-2</v>
      </c>
      <c r="AF204" s="1339">
        <f t="shared" si="112"/>
        <v>8.1494166677464008E-2</v>
      </c>
      <c r="AG204" s="1339">
        <f t="shared" si="113"/>
        <v>0.13877916748278663</v>
      </c>
      <c r="AH204" s="1280">
        <f t="shared" si="109"/>
        <v>0.41277809807028798</v>
      </c>
      <c r="AI204" s="1340">
        <f t="shared" si="110"/>
        <v>0.58722190192971202</v>
      </c>
      <c r="AJ204" s="245"/>
      <c r="AK204" s="245"/>
      <c r="AL204" s="245"/>
      <c r="AM204" s="245"/>
    </row>
    <row r="205" spans="1:39" x14ac:dyDescent="0.2">
      <c r="A205" s="348">
        <v>2032</v>
      </c>
      <c r="B205" s="362">
        <v>0</v>
      </c>
      <c r="C205" s="363">
        <v>8.0633711066118247E-2</v>
      </c>
      <c r="D205" s="363">
        <v>0.22752504728260492</v>
      </c>
      <c r="E205" s="363">
        <v>0.28552375752947806</v>
      </c>
      <c r="F205" s="363">
        <v>0.30235994752263901</v>
      </c>
      <c r="G205" s="363">
        <v>0.30179680228445266</v>
      </c>
      <c r="H205" s="363">
        <v>0.29010778126808795</v>
      </c>
      <c r="I205" s="363">
        <v>0.28292030139295005</v>
      </c>
      <c r="J205" s="363">
        <v>0.27642420602432893</v>
      </c>
      <c r="K205" s="363">
        <v>0.26897981988135972</v>
      </c>
      <c r="L205" s="398">
        <v>0.26897981988135972</v>
      </c>
      <c r="M205" s="314">
        <f t="shared" si="104"/>
        <v>5.7136907875990489E-2</v>
      </c>
      <c r="N205" s="316">
        <f t="shared" si="105"/>
        <v>3.0999146819518011E-2</v>
      </c>
      <c r="O205" s="362">
        <v>0</v>
      </c>
      <c r="P205" s="363">
        <v>9.5144251705838359E-2</v>
      </c>
      <c r="Q205" s="363">
        <v>0.23439114057845115</v>
      </c>
      <c r="R205" s="363">
        <v>0.28894376475675931</v>
      </c>
      <c r="S205" s="363">
        <v>0.30022167592687077</v>
      </c>
      <c r="T205" s="363">
        <v>0.29412939412170175</v>
      </c>
      <c r="U205" s="363">
        <v>0.28584390954788697</v>
      </c>
      <c r="V205" s="363">
        <v>0.27856920453933348</v>
      </c>
      <c r="W205" s="363">
        <v>0.27090495959673072</v>
      </c>
      <c r="X205" s="363">
        <v>0.26897981988135972</v>
      </c>
      <c r="Y205" s="398">
        <v>0.26378173787192211</v>
      </c>
      <c r="Z205" s="314">
        <f t="shared" si="106"/>
        <v>8.3386801289278251E-2</v>
      </c>
      <c r="AA205" s="316">
        <f t="shared" si="107"/>
        <v>4.6603669110561602E-2</v>
      </c>
      <c r="AB205" s="1054">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1055">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334">
        <f t="shared" si="108"/>
        <v>0</v>
      </c>
      <c r="AE205" s="1338">
        <f t="shared" si="111"/>
        <v>5.7136907875990489E-2</v>
      </c>
      <c r="AF205" s="1339">
        <f t="shared" si="112"/>
        <v>8.3386801289278251E-2</v>
      </c>
      <c r="AG205" s="1339">
        <f t="shared" si="113"/>
        <v>0.14052370916526874</v>
      </c>
      <c r="AH205" s="1280">
        <f t="shared" si="109"/>
        <v>0.40659977035471118</v>
      </c>
      <c r="AI205" s="1340">
        <f t="shared" si="110"/>
        <v>0.59340022964528882</v>
      </c>
      <c r="AJ205" s="245"/>
      <c r="AK205" s="245"/>
      <c r="AL205" s="245"/>
      <c r="AM205" s="245"/>
    </row>
    <row r="206" spans="1:39" x14ac:dyDescent="0.2">
      <c r="A206" s="348">
        <v>2033</v>
      </c>
      <c r="B206" s="362">
        <v>0</v>
      </c>
      <c r="C206" s="363">
        <v>8.0572047288344467E-2</v>
      </c>
      <c r="D206" s="363">
        <v>0.22739276590220903</v>
      </c>
      <c r="E206" s="363">
        <v>0.2916688187212701</v>
      </c>
      <c r="F206" s="363">
        <v>0.30269574315025383</v>
      </c>
      <c r="G206" s="363">
        <v>0.29393137427704408</v>
      </c>
      <c r="H206" s="363">
        <v>0.28028019142914079</v>
      </c>
      <c r="I206" s="363">
        <v>0.27507134282905293</v>
      </c>
      <c r="J206" s="363">
        <v>0.26878711782759201</v>
      </c>
      <c r="K206" s="363">
        <v>0.26382941330231968</v>
      </c>
      <c r="L206" s="398">
        <v>0.26382941330231968</v>
      </c>
      <c r="M206" s="314">
        <f t="shared" si="104"/>
        <v>5.723323443538908E-2</v>
      </c>
      <c r="N206" s="316">
        <f t="shared" si="105"/>
        <v>3.106041573734563E-2</v>
      </c>
      <c r="O206" s="362">
        <v>0</v>
      </c>
      <c r="P206" s="363">
        <v>9.5074102706870209E-2</v>
      </c>
      <c r="Q206" s="363">
        <v>0.2433893439511178</v>
      </c>
      <c r="R206" s="363">
        <v>0.2922626857831509</v>
      </c>
      <c r="S206" s="363">
        <v>0.29225292658644275</v>
      </c>
      <c r="T206" s="363">
        <v>0.28546802306786573</v>
      </c>
      <c r="U206" s="363">
        <v>0.27805666587274208</v>
      </c>
      <c r="V206" s="363">
        <v>0.27082222178008053</v>
      </c>
      <c r="W206" s="363">
        <v>0.26559771761609191</v>
      </c>
      <c r="X206" s="363">
        <v>0.26382941330231968</v>
      </c>
      <c r="Y206" s="398">
        <v>0.25927146727986411</v>
      </c>
      <c r="Z206" s="314">
        <f t="shared" si="106"/>
        <v>8.3757597152669755E-2</v>
      </c>
      <c r="AA206" s="316">
        <f t="shared" si="107"/>
        <v>4.6951377957370012E-2</v>
      </c>
      <c r="AB206" s="1054">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1055">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334">
        <f>AB206*AH206+AC206*AI206</f>
        <v>0</v>
      </c>
      <c r="AE206" s="1338">
        <f t="shared" si="111"/>
        <v>5.723323443538908E-2</v>
      </c>
      <c r="AF206" s="1339">
        <f t="shared" si="112"/>
        <v>8.3757597152669755E-2</v>
      </c>
      <c r="AG206" s="1339">
        <f t="shared" si="113"/>
        <v>0.14099083158805883</v>
      </c>
      <c r="AH206" s="1280">
        <f t="shared" si="109"/>
        <v>0.40593585973455898</v>
      </c>
      <c r="AI206" s="1340">
        <f t="shared" si="110"/>
        <v>0.59406414026544097</v>
      </c>
      <c r="AJ206" s="245"/>
      <c r="AK206" s="245"/>
      <c r="AL206" s="245"/>
      <c r="AM206" s="245"/>
    </row>
    <row r="207" spans="1:39" x14ac:dyDescent="0.2">
      <c r="A207" s="348">
        <v>2034</v>
      </c>
      <c r="B207" s="362">
        <v>0</v>
      </c>
      <c r="C207" s="363">
        <v>8.0478280414023592E-2</v>
      </c>
      <c r="D207" s="363">
        <v>0.22717085800653866</v>
      </c>
      <c r="E207" s="363">
        <v>0.28881409529229274</v>
      </c>
      <c r="F207" s="363">
        <v>0.29487402513213118</v>
      </c>
      <c r="G207" s="363">
        <v>0.28360468979126324</v>
      </c>
      <c r="H207" s="363">
        <v>0.27226431021849173</v>
      </c>
      <c r="I207" s="363">
        <v>0.26934584467169165</v>
      </c>
      <c r="J207" s="363">
        <v>0.26338555641353262</v>
      </c>
      <c r="K207" s="363">
        <v>0.2589973552856536</v>
      </c>
      <c r="L207" s="398">
        <v>0.2589973552856536</v>
      </c>
      <c r="M207" s="314">
        <f t="shared" si="104"/>
        <v>5.6763894462787068E-2</v>
      </c>
      <c r="N207" s="316">
        <f t="shared" si="105"/>
        <v>3.0906849142995206E-2</v>
      </c>
      <c r="O207" s="362">
        <v>0</v>
      </c>
      <c r="P207" s="363">
        <v>9.4966132659632704E-2</v>
      </c>
      <c r="Q207" s="363">
        <v>0.24310943916052324</v>
      </c>
      <c r="R207" s="363">
        <v>0.2864243515864387</v>
      </c>
      <c r="S207" s="363">
        <v>0.28469002637985447</v>
      </c>
      <c r="T207" s="363">
        <v>0.27786183151632887</v>
      </c>
      <c r="U207" s="363">
        <v>0.27008019787485055</v>
      </c>
      <c r="V207" s="363">
        <v>0.26528471735066206</v>
      </c>
      <c r="W207" s="363">
        <v>0.26054479493336619</v>
      </c>
      <c r="X207" s="363">
        <v>0.2589973552856536</v>
      </c>
      <c r="Y207" s="398">
        <v>0.25634897586317745</v>
      </c>
      <c r="Z207" s="314">
        <f t="shared" si="106"/>
        <v>8.2854371725481893E-2</v>
      </c>
      <c r="AA207" s="316">
        <f t="shared" si="107"/>
        <v>4.6661278912266034E-2</v>
      </c>
      <c r="AB207" s="1054">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1055">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334">
        <f t="shared" ref="AD207:AD223" si="114">AB207*AH207+AC207*AI207</f>
        <v>0</v>
      </c>
      <c r="AE207" s="1338">
        <f t="shared" si="111"/>
        <v>5.6763894462787068E-2</v>
      </c>
      <c r="AF207" s="1339">
        <f t="shared" si="112"/>
        <v>8.2854371725481893E-2</v>
      </c>
      <c r="AG207" s="1339">
        <f t="shared" si="113"/>
        <v>0.13961826618826895</v>
      </c>
      <c r="AH207" s="1280">
        <f t="shared" si="109"/>
        <v>0.4065649575267144</v>
      </c>
      <c r="AI207" s="1340">
        <f t="shared" si="110"/>
        <v>0.59343504247328571</v>
      </c>
      <c r="AJ207" s="245"/>
      <c r="AK207" s="245"/>
      <c r="AL207" s="245"/>
      <c r="AM207" s="245"/>
    </row>
    <row r="208" spans="1:39" ht="13.5" thickBot="1" x14ac:dyDescent="0.25">
      <c r="A208" s="346">
        <v>2035</v>
      </c>
      <c r="B208" s="364">
        <v>0</v>
      </c>
      <c r="C208" s="365">
        <v>8.7238842738568703E-2</v>
      </c>
      <c r="D208" s="365">
        <v>0.22337496156240219</v>
      </c>
      <c r="E208" s="365">
        <v>0.28279753020693971</v>
      </c>
      <c r="F208" s="365">
        <v>0.28356132635527787</v>
      </c>
      <c r="G208" s="365">
        <v>0.27378309471853757</v>
      </c>
      <c r="H208" s="365">
        <v>0.26440429730871129</v>
      </c>
      <c r="I208" s="365">
        <v>0.26184470165281243</v>
      </c>
      <c r="J208" s="365">
        <v>0.25895134996845331</v>
      </c>
      <c r="K208" s="365">
        <v>0.2559597122921855</v>
      </c>
      <c r="L208" s="399">
        <v>0.2559597122921855</v>
      </c>
      <c r="M208" s="328">
        <f t="shared" si="104"/>
        <v>5.6800530258827163E-2</v>
      </c>
      <c r="N208" s="330">
        <f t="shared" si="105"/>
        <v>3.1464673559638216E-2</v>
      </c>
      <c r="O208" s="364">
        <v>0</v>
      </c>
      <c r="P208" s="365">
        <v>9.4842279767080193E-2</v>
      </c>
      <c r="Q208" s="365">
        <v>0.24228192974893908</v>
      </c>
      <c r="R208" s="365">
        <v>0.27792552430904266</v>
      </c>
      <c r="S208" s="365">
        <v>0.273454794892103</v>
      </c>
      <c r="T208" s="365">
        <v>0.2675727251846674</v>
      </c>
      <c r="U208" s="365">
        <v>0.26440429730871129</v>
      </c>
      <c r="V208" s="365">
        <v>0.2600244169080097</v>
      </c>
      <c r="W208" s="365">
        <v>0.25738216407047954</v>
      </c>
      <c r="X208" s="365">
        <v>0.2559597122921855</v>
      </c>
      <c r="Y208" s="399">
        <v>0.25360939704302848</v>
      </c>
      <c r="Z208" s="328">
        <f t="shared" si="106"/>
        <v>8.1713757265056072E-2</v>
      </c>
      <c r="AA208" s="330">
        <f t="shared" si="107"/>
        <v>4.6267362089715595E-2</v>
      </c>
      <c r="AB208" s="1054">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1055">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334">
        <f t="shared" si="114"/>
        <v>0</v>
      </c>
      <c r="AE208" s="1338">
        <f t="shared" si="111"/>
        <v>5.6800530258827163E-2</v>
      </c>
      <c r="AF208" s="1339">
        <f t="shared" si="112"/>
        <v>8.1713757265056072E-2</v>
      </c>
      <c r="AG208" s="1339">
        <f t="shared" si="113"/>
        <v>0.13851428752388323</v>
      </c>
      <c r="AH208" s="1280">
        <f t="shared" si="109"/>
        <v>0.41006982943209647</v>
      </c>
      <c r="AI208" s="1340">
        <f t="shared" si="110"/>
        <v>0.58993017056790353</v>
      </c>
      <c r="AJ208" s="245"/>
      <c r="AK208" s="245"/>
      <c r="AL208" s="245"/>
      <c r="AM208" s="245"/>
    </row>
    <row r="209" spans="1:39" x14ac:dyDescent="0.2">
      <c r="A209" s="347">
        <v>2036</v>
      </c>
      <c r="B209" s="360">
        <v>0</v>
      </c>
      <c r="C209" s="361">
        <v>7.8240429387378074E-2</v>
      </c>
      <c r="D209" s="361">
        <v>0.22303620259464566</v>
      </c>
      <c r="E209" s="361">
        <v>0.2721311207579532</v>
      </c>
      <c r="F209" s="361">
        <v>0.27424325751879453</v>
      </c>
      <c r="G209" s="361">
        <v>0.27115268176807705</v>
      </c>
      <c r="H209" s="361">
        <v>0.26405723140738263</v>
      </c>
      <c r="I209" s="361">
        <v>0.26150027563802658</v>
      </c>
      <c r="J209" s="361">
        <v>0.25798337756155409</v>
      </c>
      <c r="K209" s="361">
        <v>0.25436012162902916</v>
      </c>
      <c r="L209" s="397">
        <v>0.25436012162902916</v>
      </c>
      <c r="M209" s="300">
        <f t="shared" si="104"/>
        <v>5.4723931163682175E-2</v>
      </c>
      <c r="N209" s="302">
        <f t="shared" si="105"/>
        <v>2.9924221860765217E-2</v>
      </c>
      <c r="O209" s="360">
        <v>0</v>
      </c>
      <c r="P209" s="361">
        <v>9.2420885457276281E-2</v>
      </c>
      <c r="Q209" s="361">
        <v>0.23238120162519066</v>
      </c>
      <c r="R209" s="361">
        <v>0.27051049732586468</v>
      </c>
      <c r="S209" s="361">
        <v>0.27088142181525304</v>
      </c>
      <c r="T209" s="361">
        <v>0.26560632918862503</v>
      </c>
      <c r="U209" s="361">
        <v>0.26204224845007701</v>
      </c>
      <c r="V209" s="361">
        <v>0.25798337756155409</v>
      </c>
      <c r="W209" s="361">
        <v>0.25562113638629708</v>
      </c>
      <c r="X209" s="361">
        <v>0.25436012162902916</v>
      </c>
      <c r="Y209" s="397">
        <v>0.25237538793468683</v>
      </c>
      <c r="Z209" s="300">
        <f t="shared" si="106"/>
        <v>7.9625933686195097E-2</v>
      </c>
      <c r="AA209" s="302">
        <f t="shared" si="107"/>
        <v>4.4980118222719953E-2</v>
      </c>
      <c r="AB209" s="1054">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1055">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334">
        <f t="shared" si="114"/>
        <v>0</v>
      </c>
      <c r="AE209" s="1338">
        <f t="shared" si="111"/>
        <v>5.4723931163682175E-2</v>
      </c>
      <c r="AF209" s="1339">
        <f t="shared" si="112"/>
        <v>7.9625933686195097E-2</v>
      </c>
      <c r="AG209" s="1339">
        <f t="shared" si="113"/>
        <v>0.13434986484987727</v>
      </c>
      <c r="AH209" s="1280">
        <f t="shared" si="109"/>
        <v>0.40732405071512928</v>
      </c>
      <c r="AI209" s="1340">
        <f t="shared" si="110"/>
        <v>0.59267594928487077</v>
      </c>
      <c r="AJ209" s="245"/>
      <c r="AK209" s="245"/>
      <c r="AL209" s="245"/>
      <c r="AM209" s="245"/>
    </row>
    <row r="210" spans="1:39" x14ac:dyDescent="0.2">
      <c r="A210" s="348">
        <v>2037</v>
      </c>
      <c r="B210" s="362">
        <v>0</v>
      </c>
      <c r="C210" s="363">
        <v>8.0247069991309206E-2</v>
      </c>
      <c r="D210" s="363">
        <v>0.22302146621054758</v>
      </c>
      <c r="E210" s="363">
        <v>0.2721362148249043</v>
      </c>
      <c r="F210" s="363">
        <v>0.27219932462266722</v>
      </c>
      <c r="G210" s="363">
        <v>0.27116238137247572</v>
      </c>
      <c r="H210" s="363">
        <v>0.26406893291318123</v>
      </c>
      <c r="I210" s="363">
        <v>0.26151243123383616</v>
      </c>
      <c r="J210" s="363">
        <v>0.25643087318975827</v>
      </c>
      <c r="K210" s="363">
        <v>0.25437307420053457</v>
      </c>
      <c r="L210" s="398">
        <v>0.25437307420053457</v>
      </c>
      <c r="M210" s="314">
        <f t="shared" si="104"/>
        <v>5.4982163310968689E-2</v>
      </c>
      <c r="N210" s="316">
        <f t="shared" si="105"/>
        <v>3.0194127638293104E-2</v>
      </c>
      <c r="O210" s="362">
        <v>0</v>
      </c>
      <c r="P210" s="363">
        <v>9.2421861183710749E-2</v>
      </c>
      <c r="Q210" s="363">
        <v>0.23221923701229258</v>
      </c>
      <c r="R210" s="363">
        <v>0.27032930623216062</v>
      </c>
      <c r="S210" s="363">
        <v>0.27089046528398786</v>
      </c>
      <c r="T210" s="363">
        <v>0.26561718331440509</v>
      </c>
      <c r="U210" s="363">
        <v>0.26205416634371159</v>
      </c>
      <c r="V210" s="363">
        <v>0.25799589255053973</v>
      </c>
      <c r="W210" s="363">
        <v>0.25563396781595538</v>
      </c>
      <c r="X210" s="363">
        <v>0.25437307420053457</v>
      </c>
      <c r="Y210" s="398">
        <v>0.25238852746975587</v>
      </c>
      <c r="Z210" s="314">
        <f t="shared" si="106"/>
        <v>7.960259576049758E-2</v>
      </c>
      <c r="AA210" s="316">
        <f t="shared" si="107"/>
        <v>4.496887826801263E-2</v>
      </c>
      <c r="AB210" s="1054">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1055">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334">
        <f t="shared" si="114"/>
        <v>0</v>
      </c>
      <c r="AE210" s="1338">
        <f t="shared" si="111"/>
        <v>5.4982163310968689E-2</v>
      </c>
      <c r="AF210" s="1339">
        <f t="shared" si="112"/>
        <v>7.960259576049758E-2</v>
      </c>
      <c r="AG210" s="1339">
        <f t="shared" si="113"/>
        <v>0.13458475907146628</v>
      </c>
      <c r="AH210" s="1280">
        <f t="shared" si="109"/>
        <v>0.40853187010404673</v>
      </c>
      <c r="AI210" s="1340">
        <f t="shared" si="110"/>
        <v>0.59146812989595321</v>
      </c>
      <c r="AJ210" s="245"/>
      <c r="AK210" s="245"/>
      <c r="AL210" s="245"/>
      <c r="AM210" s="245"/>
    </row>
    <row r="211" spans="1:39" x14ac:dyDescent="0.2">
      <c r="A211" s="348">
        <v>2038</v>
      </c>
      <c r="B211" s="362">
        <v>0</v>
      </c>
      <c r="C211" s="363">
        <v>7.824155928392211E-2</v>
      </c>
      <c r="D211" s="363">
        <v>0.22288855898398746</v>
      </c>
      <c r="E211" s="363">
        <v>0.2750082739572654</v>
      </c>
      <c r="F211" s="363">
        <v>0.27009935642455341</v>
      </c>
      <c r="G211" s="363">
        <v>0.26888974679996885</v>
      </c>
      <c r="H211" s="363">
        <v>0.2620643403339149</v>
      </c>
      <c r="I211" s="363">
        <v>0.25970472356857194</v>
      </c>
      <c r="J211" s="363">
        <v>0.25644183767744727</v>
      </c>
      <c r="K211" s="363">
        <v>0.25438433483700146</v>
      </c>
      <c r="L211" s="398">
        <v>0.25438433483700146</v>
      </c>
      <c r="M211" s="314">
        <f t="shared" si="104"/>
        <v>5.4723854176964064E-2</v>
      </c>
      <c r="N211" s="316">
        <f t="shared" si="105"/>
        <v>2.9933767972705326E-2</v>
      </c>
      <c r="O211" s="362">
        <v>0</v>
      </c>
      <c r="P211" s="363">
        <v>9.2422220138589917E-2</v>
      </c>
      <c r="Q211" s="363">
        <v>0.24006830112443817</v>
      </c>
      <c r="R211" s="363">
        <v>0.26550620087145271</v>
      </c>
      <c r="S211" s="363">
        <v>0.2663889801062973</v>
      </c>
      <c r="T211" s="363">
        <v>0.26342828519992029</v>
      </c>
      <c r="U211" s="363">
        <v>0.26014352759107778</v>
      </c>
      <c r="V211" s="363">
        <v>0.25800669112067875</v>
      </c>
      <c r="W211" s="363">
        <v>0.25564509880793551</v>
      </c>
      <c r="X211" s="363">
        <v>0.25438433483700146</v>
      </c>
      <c r="Y211" s="398">
        <v>0.25239998845102735</v>
      </c>
      <c r="Z211" s="314">
        <f t="shared" si="106"/>
        <v>7.9836682837032158E-2</v>
      </c>
      <c r="AA211" s="316">
        <f t="shared" si="107"/>
        <v>4.5187842703637716E-2</v>
      </c>
      <c r="AB211" s="1054">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1055">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334">
        <f t="shared" si="114"/>
        <v>0</v>
      </c>
      <c r="AE211" s="1338">
        <f t="shared" si="111"/>
        <v>5.4723854176964064E-2</v>
      </c>
      <c r="AF211" s="1339">
        <f t="shared" si="112"/>
        <v>7.9836682837032158E-2</v>
      </c>
      <c r="AG211" s="1339">
        <f t="shared" si="113"/>
        <v>0.13456053701399623</v>
      </c>
      <c r="AH211" s="1280">
        <f t="shared" si="109"/>
        <v>0.40668575937142698</v>
      </c>
      <c r="AI211" s="1340">
        <f t="shared" si="110"/>
        <v>0.59331424062857296</v>
      </c>
      <c r="AJ211" s="245"/>
      <c r="AK211" s="245"/>
      <c r="AL211" s="245"/>
      <c r="AM211" s="245"/>
    </row>
    <row r="212" spans="1:39" x14ac:dyDescent="0.2">
      <c r="A212" s="348">
        <v>2039</v>
      </c>
      <c r="B212" s="362">
        <v>0</v>
      </c>
      <c r="C212" s="363">
        <v>8.7446531568792368E-2</v>
      </c>
      <c r="D212" s="363">
        <v>0.22239803374628991</v>
      </c>
      <c r="E212" s="363">
        <v>0.27125693668750589</v>
      </c>
      <c r="F212" s="363">
        <v>0.27090427681291512</v>
      </c>
      <c r="G212" s="363">
        <v>0.26662124456002506</v>
      </c>
      <c r="H212" s="363">
        <v>0.26015327636841012</v>
      </c>
      <c r="I212" s="363">
        <v>0.25971469985030271</v>
      </c>
      <c r="J212" s="363">
        <v>0.25645217110334945</v>
      </c>
      <c r="K212" s="363">
        <v>0.2543949694487817</v>
      </c>
      <c r="L212" s="398">
        <v>0.2543949694487817</v>
      </c>
      <c r="M212" s="314">
        <f t="shared" si="104"/>
        <v>5.5883152364656498E-2</v>
      </c>
      <c r="N212" s="316">
        <f t="shared" si="105"/>
        <v>3.1144999259714767E-2</v>
      </c>
      <c r="O212" s="362">
        <v>0</v>
      </c>
      <c r="P212" s="363">
        <v>9.2422352191411788E-2</v>
      </c>
      <c r="Q212" s="363">
        <v>0.23832173594985179</v>
      </c>
      <c r="R212" s="363">
        <v>0.26536244734582998</v>
      </c>
      <c r="S212" s="363">
        <v>0.26412614514547683</v>
      </c>
      <c r="T212" s="363">
        <v>0.26129340546960012</v>
      </c>
      <c r="U212" s="363">
        <v>0.26015327636841012</v>
      </c>
      <c r="V212" s="363">
        <v>0.25645217110334945</v>
      </c>
      <c r="W212" s="363">
        <v>0.2543949694487817</v>
      </c>
      <c r="X212" s="363">
        <v>0.25330832224075756</v>
      </c>
      <c r="Y212" s="398">
        <v>0.25241082827293149</v>
      </c>
      <c r="Z212" s="314">
        <f t="shared" si="106"/>
        <v>7.9586531867890969E-2</v>
      </c>
      <c r="AA212" s="316">
        <f t="shared" si="107"/>
        <v>4.5079814144744684E-2</v>
      </c>
      <c r="AB212" s="1054">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1055">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334">
        <f t="shared" si="114"/>
        <v>0</v>
      </c>
      <c r="AE212" s="1338">
        <f t="shared" si="111"/>
        <v>5.5883152364656498E-2</v>
      </c>
      <c r="AF212" s="1339">
        <f t="shared" si="112"/>
        <v>7.9586531867890969E-2</v>
      </c>
      <c r="AG212" s="1339">
        <f t="shared" si="113"/>
        <v>0.13546968423254746</v>
      </c>
      <c r="AH212" s="1280">
        <f t="shared" si="109"/>
        <v>0.41251408151751057</v>
      </c>
      <c r="AI212" s="1340">
        <f t="shared" si="110"/>
        <v>0.58748591848248954</v>
      </c>
      <c r="AJ212" s="245"/>
      <c r="AK212" s="245"/>
      <c r="AL212" s="245"/>
      <c r="AM212" s="245"/>
    </row>
    <row r="213" spans="1:39" ht="13.5" thickBot="1" x14ac:dyDescent="0.25">
      <c r="A213" s="346">
        <v>2040</v>
      </c>
      <c r="B213" s="364">
        <v>0</v>
      </c>
      <c r="C213" s="365">
        <v>8.7446577532983766E-2</v>
      </c>
      <c r="D213" s="365">
        <v>0.2209200007767721</v>
      </c>
      <c r="E213" s="365">
        <v>0.26323399346711013</v>
      </c>
      <c r="F213" s="365">
        <v>0.26866590106139865</v>
      </c>
      <c r="G213" s="365">
        <v>0.26213868745301888</v>
      </c>
      <c r="H213" s="365">
        <v>0.26016280149501025</v>
      </c>
      <c r="I213" s="365">
        <v>0.25802679729021838</v>
      </c>
      <c r="J213" s="365">
        <v>0.255665883962723</v>
      </c>
      <c r="K213" s="365">
        <v>0.25331885365167267</v>
      </c>
      <c r="L213" s="399">
        <v>0.25331885365167267</v>
      </c>
      <c r="M213" s="328">
        <f t="shared" si="104"/>
        <v>5.5334590757938264E-2</v>
      </c>
      <c r="N213" s="330">
        <f t="shared" si="105"/>
        <v>3.0913715733127893E-2</v>
      </c>
      <c r="O213" s="364">
        <v>0</v>
      </c>
      <c r="P213" s="365">
        <v>9.5039132902423981E-2</v>
      </c>
      <c r="Q213" s="365">
        <v>0.23119497575767492</v>
      </c>
      <c r="R213" s="365">
        <v>0.25531886368748469</v>
      </c>
      <c r="S213" s="365">
        <v>0.2618683645385117</v>
      </c>
      <c r="T213" s="365">
        <v>0.25922593597985422</v>
      </c>
      <c r="U213" s="365">
        <v>0.25834922729184645</v>
      </c>
      <c r="V213" s="365">
        <v>0.25646228498926255</v>
      </c>
      <c r="W213" s="365">
        <v>0.25440538677825653</v>
      </c>
      <c r="X213" s="365">
        <v>0.25331885365167267</v>
      </c>
      <c r="Y213" s="399">
        <v>0.2524214528813048</v>
      </c>
      <c r="Z213" s="328">
        <f t="shared" si="106"/>
        <v>7.899904567209573E-2</v>
      </c>
      <c r="AA213" s="330">
        <f t="shared" si="107"/>
        <v>4.5164656019038622E-2</v>
      </c>
      <c r="AB213" s="1054">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1055">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334">
        <f t="shared" si="114"/>
        <v>0</v>
      </c>
      <c r="AE213" s="1338">
        <f t="shared" si="111"/>
        <v>5.5334590757938264E-2</v>
      </c>
      <c r="AF213" s="1339">
        <f t="shared" si="112"/>
        <v>7.899904567209573E-2</v>
      </c>
      <c r="AG213" s="1339">
        <f t="shared" si="113"/>
        <v>0.13433363643003399</v>
      </c>
      <c r="AH213" s="1280">
        <f t="shared" si="109"/>
        <v>0.41191910104181989</v>
      </c>
      <c r="AI213" s="1340">
        <f t="shared" si="110"/>
        <v>0.58808089895818016</v>
      </c>
      <c r="AJ213" s="245"/>
      <c r="AK213" s="245"/>
      <c r="AL213" s="245"/>
      <c r="AM213" s="245"/>
    </row>
    <row r="214" spans="1:39" x14ac:dyDescent="0.2">
      <c r="A214" s="347">
        <v>2041</v>
      </c>
      <c r="B214" s="360">
        <v>0</v>
      </c>
      <c r="C214" s="361">
        <v>8.7446594442276968E-2</v>
      </c>
      <c r="D214" s="361">
        <v>0.21671270805226764</v>
      </c>
      <c r="E214" s="361">
        <v>0.25086748793430014</v>
      </c>
      <c r="F214" s="361">
        <v>0.26414058371889726</v>
      </c>
      <c r="G214" s="361">
        <v>0.25995775125827558</v>
      </c>
      <c r="H214" s="361">
        <v>0.2583588769846869</v>
      </c>
      <c r="I214" s="361">
        <v>0.25647231893216998</v>
      </c>
      <c r="J214" s="361">
        <v>0.2556760876678002</v>
      </c>
      <c r="K214" s="361">
        <v>0.25332930642982765</v>
      </c>
      <c r="L214" s="397">
        <v>0.25332930642982765</v>
      </c>
      <c r="M214" s="300">
        <f t="shared" si="104"/>
        <v>5.427629743563471E-2</v>
      </c>
      <c r="N214" s="302">
        <f t="shared" si="105"/>
        <v>3.0448103947878915E-2</v>
      </c>
      <c r="O214" s="360">
        <v>0</v>
      </c>
      <c r="P214" s="361">
        <v>9.4961460594282995E-2</v>
      </c>
      <c r="Q214" s="361">
        <v>0.2268274089512366</v>
      </c>
      <c r="R214" s="361">
        <v>0.24277270065792733</v>
      </c>
      <c r="S214" s="361">
        <v>0.25740885545741166</v>
      </c>
      <c r="T214" s="361">
        <v>0.25723900421504525</v>
      </c>
      <c r="U214" s="361">
        <v>0.25666534423128462</v>
      </c>
      <c r="V214" s="361">
        <v>0.2550542670072658</v>
      </c>
      <c r="W214" s="361">
        <v>0.25441572504004956</v>
      </c>
      <c r="X214" s="361">
        <v>0.25332930642982765</v>
      </c>
      <c r="Y214" s="397">
        <v>0.2517413941551771</v>
      </c>
      <c r="Z214" s="300">
        <f t="shared" si="106"/>
        <v>7.7702779831568008E-2</v>
      </c>
      <c r="AA214" s="302">
        <f t="shared" si="107"/>
        <v>4.4615071487561331E-2</v>
      </c>
      <c r="AB214" s="1054">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1055">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334">
        <f t="shared" si="114"/>
        <v>0</v>
      </c>
      <c r="AE214" s="1338">
        <f t="shared" si="111"/>
        <v>5.427629743563471E-2</v>
      </c>
      <c r="AF214" s="1339">
        <f t="shared" si="112"/>
        <v>7.7702779831568008E-2</v>
      </c>
      <c r="AG214" s="1339">
        <f t="shared" si="113"/>
        <v>0.1319790772672027</v>
      </c>
      <c r="AH214" s="1280">
        <f t="shared" si="109"/>
        <v>0.4112492567723276</v>
      </c>
      <c r="AI214" s="1340">
        <f t="shared" si="110"/>
        <v>0.58875074322767251</v>
      </c>
      <c r="AJ214" s="245"/>
      <c r="AK214" s="245"/>
      <c r="AL214" s="245"/>
      <c r="AM214" s="245"/>
    </row>
    <row r="215" spans="1:39" x14ac:dyDescent="0.2">
      <c r="A215" s="348">
        <v>2042</v>
      </c>
      <c r="B215" s="362">
        <v>0</v>
      </c>
      <c r="C215" s="363">
        <v>8.7293806152086623E-2</v>
      </c>
      <c r="D215" s="363">
        <v>0.20977964345046091</v>
      </c>
      <c r="E215" s="363">
        <v>0.23397318363167255</v>
      </c>
      <c r="F215" s="363">
        <v>0.25963554635832164</v>
      </c>
      <c r="G215" s="363">
        <v>0.25576418922079608</v>
      </c>
      <c r="H215" s="363">
        <v>0.25667515673130459</v>
      </c>
      <c r="I215" s="363">
        <v>0.25648232678837812</v>
      </c>
      <c r="J215" s="363">
        <v>0.25442603765827243</v>
      </c>
      <c r="K215" s="363">
        <v>0.2524425202837316</v>
      </c>
      <c r="L215" s="398">
        <v>0.2524425202837316</v>
      </c>
      <c r="M215" s="314">
        <f t="shared" si="104"/>
        <v>5.2744858875597142E-2</v>
      </c>
      <c r="N215" s="316">
        <f t="shared" si="105"/>
        <v>2.9742853867713019E-2</v>
      </c>
      <c r="O215" s="362">
        <v>0</v>
      </c>
      <c r="P215" s="363">
        <v>0.10182063815052469</v>
      </c>
      <c r="Q215" s="363">
        <v>0.21321701747514016</v>
      </c>
      <c r="R215" s="363">
        <v>0.22763241676407694</v>
      </c>
      <c r="S215" s="363">
        <v>0.25523985852960629</v>
      </c>
      <c r="T215" s="363">
        <v>0.2553456170626609</v>
      </c>
      <c r="U215" s="363">
        <v>0.25511467186040393</v>
      </c>
      <c r="V215" s="363">
        <v>0.25506442862362266</v>
      </c>
      <c r="W215" s="363">
        <v>0.25333973377106361</v>
      </c>
      <c r="X215" s="363">
        <v>0.2524425202837316</v>
      </c>
      <c r="Y215" s="398">
        <v>0.25175198672658888</v>
      </c>
      <c r="Z215" s="314">
        <f t="shared" si="106"/>
        <v>7.7416675870762688E-2</v>
      </c>
      <c r="AA215" s="316">
        <f t="shared" si="107"/>
        <v>4.5369825313830756E-2</v>
      </c>
      <c r="AB215" s="1054">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1055">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334">
        <f t="shared" si="114"/>
        <v>0</v>
      </c>
      <c r="AE215" s="1338">
        <f t="shared" si="111"/>
        <v>5.2744858875597142E-2</v>
      </c>
      <c r="AF215" s="1339">
        <f t="shared" si="112"/>
        <v>7.7416675870762688E-2</v>
      </c>
      <c r="AG215" s="1339">
        <f t="shared" si="113"/>
        <v>0.13016153474635983</v>
      </c>
      <c r="AH215" s="1280">
        <f t="shared" si="109"/>
        <v>0.40522615977430487</v>
      </c>
      <c r="AI215" s="1340">
        <f t="shared" si="110"/>
        <v>0.59477384022569513</v>
      </c>
      <c r="AJ215" s="245"/>
      <c r="AK215" s="245"/>
      <c r="AL215" s="245"/>
      <c r="AM215" s="245"/>
    </row>
    <row r="216" spans="1:39" x14ac:dyDescent="0.2">
      <c r="A216" s="348">
        <v>2043</v>
      </c>
      <c r="B216" s="362">
        <v>0</v>
      </c>
      <c r="C216" s="363">
        <v>8.5908528888715988E-2</v>
      </c>
      <c r="D216" s="363">
        <v>0.19373278863716034</v>
      </c>
      <c r="E216" s="363">
        <v>0.2172756374081935</v>
      </c>
      <c r="F216" s="363">
        <v>0.2552481323641369</v>
      </c>
      <c r="G216" s="363">
        <v>0.25378595681860711</v>
      </c>
      <c r="H216" s="363">
        <v>0.25512464289312203</v>
      </c>
      <c r="I216" s="363">
        <v>0.25507457720687726</v>
      </c>
      <c r="J216" s="363">
        <v>0.2544363372630879</v>
      </c>
      <c r="K216" s="363">
        <v>0.25245302841960754</v>
      </c>
      <c r="L216" s="398">
        <v>0.25245302841960754</v>
      </c>
      <c r="M216" s="314">
        <f t="shared" si="104"/>
        <v>5.0234302572503525E-2</v>
      </c>
      <c r="N216" s="316">
        <f t="shared" si="105"/>
        <v>2.8405190933804843E-2</v>
      </c>
      <c r="O216" s="362">
        <v>0</v>
      </c>
      <c r="P216" s="363">
        <v>9.8781931276080134E-2</v>
      </c>
      <c r="Q216" s="363">
        <v>0.19579034904223799</v>
      </c>
      <c r="R216" s="363">
        <v>0.21579682348526935</v>
      </c>
      <c r="S216" s="363">
        <v>0.25107060111683721</v>
      </c>
      <c r="T216" s="363">
        <v>0.25355868318810953</v>
      </c>
      <c r="U216" s="363">
        <v>0.25512464289312203</v>
      </c>
      <c r="V216" s="363">
        <v>0.25381649372077014</v>
      </c>
      <c r="W216" s="363">
        <v>0.25335014814324375</v>
      </c>
      <c r="X216" s="363">
        <v>0.25245302841960754</v>
      </c>
      <c r="Y216" s="398">
        <v>0.25176256639465355</v>
      </c>
      <c r="Z216" s="314">
        <f t="shared" si="106"/>
        <v>7.4314851352674918E-2</v>
      </c>
      <c r="AA216" s="316">
        <f t="shared" si="107"/>
        <v>4.347993252495623E-2</v>
      </c>
      <c r="AB216" s="1054">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1055">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334">
        <f t="shared" si="114"/>
        <v>0</v>
      </c>
      <c r="AE216" s="1338">
        <f t="shared" si="111"/>
        <v>5.0234302572503525E-2</v>
      </c>
      <c r="AF216" s="1339">
        <f t="shared" si="112"/>
        <v>7.4314851352674918E-2</v>
      </c>
      <c r="AG216" s="1339">
        <f t="shared" si="113"/>
        <v>0.12454915392517844</v>
      </c>
      <c r="AH216" s="1280">
        <f t="shared" si="109"/>
        <v>0.40332913544062482</v>
      </c>
      <c r="AI216" s="1340">
        <f t="shared" si="110"/>
        <v>0.59667086455937512</v>
      </c>
      <c r="AJ216" s="245"/>
      <c r="AK216" s="245"/>
      <c r="AL216" s="245"/>
      <c r="AM216" s="245"/>
    </row>
    <row r="217" spans="1:39" x14ac:dyDescent="0.2">
      <c r="A217" s="348">
        <v>2044</v>
      </c>
      <c r="B217" s="362">
        <v>0</v>
      </c>
      <c r="C217" s="363">
        <v>8.1889258965783571E-2</v>
      </c>
      <c r="D217" s="363">
        <v>0.17481233484775829</v>
      </c>
      <c r="E217" s="363">
        <v>0.20732539714014997</v>
      </c>
      <c r="F217" s="363">
        <v>0.25107938214651587</v>
      </c>
      <c r="G217" s="363">
        <v>0.25190114993857038</v>
      </c>
      <c r="H217" s="363">
        <v>0.25372041765540426</v>
      </c>
      <c r="I217" s="363">
        <v>0.25382678510070678</v>
      </c>
      <c r="J217" s="363">
        <v>0.25336057094326375</v>
      </c>
      <c r="K217" s="363">
        <v>0.25246354512276459</v>
      </c>
      <c r="L217" s="398">
        <v>0.25246354512276459</v>
      </c>
      <c r="M217" s="314">
        <f t="shared" si="104"/>
        <v>4.7384280196437818E-2</v>
      </c>
      <c r="N217" s="316">
        <f t="shared" si="105"/>
        <v>2.666863173647287E-2</v>
      </c>
      <c r="O217" s="362">
        <v>0</v>
      </c>
      <c r="P217" s="363">
        <v>8.5928835697774542E-2</v>
      </c>
      <c r="Q217" s="363">
        <v>0.18192225960591271</v>
      </c>
      <c r="R217" s="363">
        <v>0.20776329162970861</v>
      </c>
      <c r="S217" s="363">
        <v>0.24910444422048411</v>
      </c>
      <c r="T217" s="363">
        <v>0.25189106142570594</v>
      </c>
      <c r="U217" s="363">
        <v>0.25372041765540426</v>
      </c>
      <c r="V217" s="363">
        <v>0.25274245122206068</v>
      </c>
      <c r="W217" s="363">
        <v>0.25246354512276459</v>
      </c>
      <c r="X217" s="363">
        <v>0.25246354512276459</v>
      </c>
      <c r="Y217" s="398">
        <v>0.25131266661977758</v>
      </c>
      <c r="Z217" s="314">
        <f t="shared" si="106"/>
        <v>6.9098752862236948E-2</v>
      </c>
      <c r="AA217" s="316">
        <f t="shared" si="107"/>
        <v>3.9334393726175365E-2</v>
      </c>
      <c r="AB217" s="1054">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1055">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334">
        <f t="shared" si="114"/>
        <v>0</v>
      </c>
      <c r="AE217" s="1338">
        <f t="shared" si="111"/>
        <v>4.7384280196437818E-2</v>
      </c>
      <c r="AF217" s="1339">
        <f t="shared" si="112"/>
        <v>6.9098752862236948E-2</v>
      </c>
      <c r="AG217" s="1339">
        <f t="shared" si="113"/>
        <v>0.11648303305867477</v>
      </c>
      <c r="AH217" s="1280">
        <f t="shared" si="109"/>
        <v>0.40679126351877731</v>
      </c>
      <c r="AI217" s="1340">
        <f t="shared" si="110"/>
        <v>0.59320873648122263</v>
      </c>
      <c r="AJ217" s="245"/>
      <c r="AK217" s="245"/>
      <c r="AL217" s="245"/>
      <c r="AM217" s="245"/>
    </row>
    <row r="218" spans="1:39" ht="13.5" thickBot="1" x14ac:dyDescent="0.25">
      <c r="A218" s="346">
        <v>2045</v>
      </c>
      <c r="B218" s="364">
        <v>0</v>
      </c>
      <c r="C218" s="365">
        <v>7.5678687301972081E-2</v>
      </c>
      <c r="D218" s="365">
        <v>0.16677928417807053</v>
      </c>
      <c r="E218" s="365">
        <v>0.1996070838247303</v>
      </c>
      <c r="F218" s="365">
        <v>0.24911345816666558</v>
      </c>
      <c r="G218" s="365">
        <v>0.25012256172859854</v>
      </c>
      <c r="H218" s="365">
        <v>0.25373055364911951</v>
      </c>
      <c r="I218" s="365">
        <v>0.25383708037309011</v>
      </c>
      <c r="J218" s="365">
        <v>0.2533709977203934</v>
      </c>
      <c r="K218" s="365">
        <v>0.25178374717259655</v>
      </c>
      <c r="L218" s="399">
        <v>0.25178374717259655</v>
      </c>
      <c r="M218" s="328">
        <f t="shared" si="104"/>
        <v>4.5339651172768329E-2</v>
      </c>
      <c r="N218" s="330">
        <f t="shared" si="105"/>
        <v>2.5232940604788499E-2</v>
      </c>
      <c r="O218" s="364">
        <v>0</v>
      </c>
      <c r="P218" s="365">
        <v>7.7871935513201554E-2</v>
      </c>
      <c r="Q218" s="365">
        <v>0.17267331471747543</v>
      </c>
      <c r="R218" s="365">
        <v>0.20051509174580898</v>
      </c>
      <c r="S218" s="365">
        <v>0.24723149573320591</v>
      </c>
      <c r="T218" s="365">
        <v>0.25035556714501855</v>
      </c>
      <c r="U218" s="365">
        <v>0.25247578295362744</v>
      </c>
      <c r="V218" s="365">
        <v>0.25275286125384344</v>
      </c>
      <c r="W218" s="365">
        <v>0.25247406586913312</v>
      </c>
      <c r="X218" s="365">
        <v>0.25178374717259655</v>
      </c>
      <c r="Y218" s="399">
        <v>0.25132330656613294</v>
      </c>
      <c r="Z218" s="328">
        <f t="shared" si="106"/>
        <v>6.5643417147471905E-2</v>
      </c>
      <c r="AA218" s="330">
        <f t="shared" si="107"/>
        <v>3.6656268133973505E-2</v>
      </c>
      <c r="AB218" s="1054">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1055">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334">
        <f t="shared" si="114"/>
        <v>0</v>
      </c>
      <c r="AE218" s="1338">
        <f t="shared" si="111"/>
        <v>4.5339651172768329E-2</v>
      </c>
      <c r="AF218" s="1339">
        <f t="shared" si="112"/>
        <v>6.5643417147471905E-2</v>
      </c>
      <c r="AG218" s="1339">
        <f t="shared" si="113"/>
        <v>0.11098306832024024</v>
      </c>
      <c r="AH218" s="1280">
        <f t="shared" si="109"/>
        <v>0.40852764172946937</v>
      </c>
      <c r="AI218" s="1340">
        <f t="shared" si="110"/>
        <v>0.59147235827053057</v>
      </c>
      <c r="AJ218" s="245"/>
      <c r="AK218" s="245"/>
      <c r="AL218" s="245"/>
      <c r="AM218" s="245"/>
    </row>
    <row r="219" spans="1:39" x14ac:dyDescent="0.2">
      <c r="A219" s="347">
        <v>2046</v>
      </c>
      <c r="B219" s="360">
        <v>0</v>
      </c>
      <c r="C219" s="361">
        <v>7.1457183501716967E-2</v>
      </c>
      <c r="D219" s="361">
        <v>0.1570010227292982</v>
      </c>
      <c r="E219" s="361">
        <v>0.19663208777096505</v>
      </c>
      <c r="F219" s="361">
        <v>0.24724072863155508</v>
      </c>
      <c r="G219" s="361">
        <v>0.2484629293674169</v>
      </c>
      <c r="H219" s="361">
        <v>0.25248605802244672</v>
      </c>
      <c r="I219" s="361">
        <v>0.25276327622839334</v>
      </c>
      <c r="J219" s="361">
        <v>0.25248459162767639</v>
      </c>
      <c r="K219" s="361">
        <v>0.25179434466869771</v>
      </c>
      <c r="L219" s="397">
        <v>0.25179434466869771</v>
      </c>
      <c r="M219" s="300">
        <f t="shared" si="104"/>
        <v>4.3640199740181233E-2</v>
      </c>
      <c r="N219" s="302">
        <f t="shared" si="105"/>
        <v>2.4070177907543098E-2</v>
      </c>
      <c r="O219" s="360">
        <v>0</v>
      </c>
      <c r="P219" s="361">
        <v>7.3533766526622385E-2</v>
      </c>
      <c r="Q219" s="361">
        <v>0.16465627749554065</v>
      </c>
      <c r="R219" s="361">
        <v>0.19777294917748131</v>
      </c>
      <c r="S219" s="361">
        <v>0.2454644174439361</v>
      </c>
      <c r="T219" s="361">
        <v>0.25036545931323767</v>
      </c>
      <c r="U219" s="361">
        <v>0.25248605802244672</v>
      </c>
      <c r="V219" s="361">
        <v>0.25276327622839334</v>
      </c>
      <c r="W219" s="361">
        <v>0.25248459162767639</v>
      </c>
      <c r="X219" s="361">
        <v>0.25179434466869771</v>
      </c>
      <c r="Y219" s="397">
        <v>0.25133395160460259</v>
      </c>
      <c r="Z219" s="300">
        <f t="shared" si="106"/>
        <v>6.3608021716608926E-2</v>
      </c>
      <c r="AA219" s="302">
        <f t="shared" si="107"/>
        <v>3.5100545328742468E-2</v>
      </c>
      <c r="AB219" s="1054">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1055">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334">
        <f t="shared" si="114"/>
        <v>0</v>
      </c>
      <c r="AE219" s="1338">
        <f t="shared" si="111"/>
        <v>4.3640199740181233E-2</v>
      </c>
      <c r="AF219" s="1339">
        <f t="shared" si="112"/>
        <v>6.3608021716608926E-2</v>
      </c>
      <c r="AG219" s="1339">
        <f t="shared" si="113"/>
        <v>0.10724822145679017</v>
      </c>
      <c r="AH219" s="1280">
        <f t="shared" si="109"/>
        <v>0.40690837710314548</v>
      </c>
      <c r="AI219" s="1340">
        <f t="shared" si="110"/>
        <v>0.59309162289685446</v>
      </c>
      <c r="AJ219" s="245"/>
      <c r="AK219" s="245"/>
      <c r="AL219" s="245"/>
      <c r="AM219" s="245"/>
    </row>
    <row r="220" spans="1:39" x14ac:dyDescent="0.2">
      <c r="A220" s="348">
        <v>2047</v>
      </c>
      <c r="B220" s="362">
        <v>0</v>
      </c>
      <c r="C220" s="363">
        <v>6.238130479471149E-2</v>
      </c>
      <c r="D220" s="363">
        <v>0.15261395654006868</v>
      </c>
      <c r="E220" s="363">
        <v>0.19379795455028412</v>
      </c>
      <c r="F220" s="363">
        <v>0.24724995971949662</v>
      </c>
      <c r="G220" s="363">
        <v>0.2484726053846604</v>
      </c>
      <c r="H220" s="363">
        <v>0.25249633117489362</v>
      </c>
      <c r="I220" s="363">
        <v>0.25277368927519217</v>
      </c>
      <c r="J220" s="363">
        <v>0.25187838808101154</v>
      </c>
      <c r="K220" s="363">
        <v>0.25180494022901728</v>
      </c>
      <c r="L220" s="398">
        <v>0.25180494022901728</v>
      </c>
      <c r="M220" s="314">
        <f t="shared" si="104"/>
        <v>4.1755353205119333E-2</v>
      </c>
      <c r="N220" s="316">
        <f t="shared" si="105"/>
        <v>2.2513405676957837E-2</v>
      </c>
      <c r="O220" s="362">
        <v>0</v>
      </c>
      <c r="P220" s="363">
        <v>6.7807309314071446E-2</v>
      </c>
      <c r="Q220" s="363">
        <v>0.16310795046582249</v>
      </c>
      <c r="R220" s="363">
        <v>0.19645978218682184</v>
      </c>
      <c r="S220" s="363">
        <v>0.24547384736325359</v>
      </c>
      <c r="T220" s="363">
        <v>0.25037534960357094</v>
      </c>
      <c r="U220" s="363">
        <v>0.25249633117489362</v>
      </c>
      <c r="V220" s="363">
        <v>0.25277368927519217</v>
      </c>
      <c r="W220" s="363">
        <v>0.25180494022901728</v>
      </c>
      <c r="X220" s="363">
        <v>0.25180494022901728</v>
      </c>
      <c r="Y220" s="398">
        <v>0.25134459470634507</v>
      </c>
      <c r="Z220" s="314">
        <f t="shared" si="106"/>
        <v>6.1852770507535737E-2</v>
      </c>
      <c r="AA220" s="316">
        <f t="shared" si="107"/>
        <v>3.3531777274834806E-2</v>
      </c>
      <c r="AB220" s="1054">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1055">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334">
        <f t="shared" si="114"/>
        <v>0</v>
      </c>
      <c r="AE220" s="1338">
        <f t="shared" si="111"/>
        <v>4.1755353205119333E-2</v>
      </c>
      <c r="AF220" s="1339">
        <f t="shared" si="112"/>
        <v>6.1852770507535737E-2</v>
      </c>
      <c r="AG220" s="1339">
        <f t="shared" si="113"/>
        <v>0.10360812371265507</v>
      </c>
      <c r="AH220" s="1280">
        <f t="shared" si="109"/>
        <v>0.40301234795953733</v>
      </c>
      <c r="AI220" s="1340">
        <f t="shared" si="110"/>
        <v>0.59698765204046267</v>
      </c>
      <c r="AJ220" s="245"/>
      <c r="AK220" s="245"/>
      <c r="AL220" s="245"/>
      <c r="AM220" s="245"/>
    </row>
    <row r="221" spans="1:39" x14ac:dyDescent="0.2">
      <c r="A221" s="348">
        <v>2048</v>
      </c>
      <c r="B221" s="362">
        <v>0</v>
      </c>
      <c r="C221" s="363">
        <v>6.0315009482796299E-2</v>
      </c>
      <c r="D221" s="363">
        <v>0.14973011529171484</v>
      </c>
      <c r="E221" s="363">
        <v>0.19242257781243005</v>
      </c>
      <c r="F221" s="363">
        <v>0.24548328864544774</v>
      </c>
      <c r="G221" s="363">
        <v>0.24848229307153799</v>
      </c>
      <c r="H221" s="363">
        <v>0.25250661675304797</v>
      </c>
      <c r="I221" s="363">
        <v>0.25278411492752112</v>
      </c>
      <c r="J221" s="363">
        <v>0.25188890767421229</v>
      </c>
      <c r="K221" s="363">
        <v>0.25181554863456213</v>
      </c>
      <c r="L221" s="398">
        <v>0.25181554863456213</v>
      </c>
      <c r="M221" s="314">
        <f t="shared" si="104"/>
        <v>4.1088272658679287E-2</v>
      </c>
      <c r="N221" s="316">
        <f t="shared" si="105"/>
        <v>2.2038781544738904E-2</v>
      </c>
      <c r="O221" s="362">
        <v>0</v>
      </c>
      <c r="P221" s="363">
        <v>6.6997117306702728E-2</v>
      </c>
      <c r="Q221" s="363">
        <v>0.16020713040998574</v>
      </c>
      <c r="R221" s="363">
        <v>0.1962972056519193</v>
      </c>
      <c r="S221" s="363">
        <v>0.24382542185060879</v>
      </c>
      <c r="T221" s="363">
        <v>0.24898518492550301</v>
      </c>
      <c r="U221" s="363">
        <v>0.25250661675304797</v>
      </c>
      <c r="V221" s="363">
        <v>0.25188890767421229</v>
      </c>
      <c r="W221" s="363">
        <v>0.25181554863456213</v>
      </c>
      <c r="X221" s="363">
        <v>0.25181554863456213</v>
      </c>
      <c r="Y221" s="398">
        <v>0.25135525071662551</v>
      </c>
      <c r="Z221" s="314">
        <f t="shared" si="106"/>
        <v>6.1321724908852113E-2</v>
      </c>
      <c r="AA221" s="316">
        <f t="shared" si="107"/>
        <v>3.3170226352636029E-2</v>
      </c>
      <c r="AB221" s="1054">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1055">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334">
        <f t="shared" si="114"/>
        <v>0</v>
      </c>
      <c r="AE221" s="1338">
        <f t="shared" si="111"/>
        <v>4.1088272658679287E-2</v>
      </c>
      <c r="AF221" s="1339">
        <f t="shared" si="112"/>
        <v>6.1321724908852113E-2</v>
      </c>
      <c r="AG221" s="1339">
        <f t="shared" si="113"/>
        <v>0.1024099975675314</v>
      </c>
      <c r="AH221" s="1280">
        <f t="shared" si="109"/>
        <v>0.40121349120807054</v>
      </c>
      <c r="AI221" s="1340">
        <f t="shared" si="110"/>
        <v>0.59878650879192941</v>
      </c>
      <c r="AJ221" s="245"/>
      <c r="AK221" s="245"/>
      <c r="AL221" s="245"/>
      <c r="AM221" s="245"/>
    </row>
    <row r="222" spans="1:39" x14ac:dyDescent="0.2">
      <c r="A222" s="348">
        <v>2049</v>
      </c>
      <c r="B222" s="362">
        <v>0</v>
      </c>
      <c r="C222" s="363">
        <v>5.7427952597899304E-2</v>
      </c>
      <c r="D222" s="363">
        <v>0.14961794371977113</v>
      </c>
      <c r="E222" s="363">
        <v>0.19226855155028805</v>
      </c>
      <c r="F222" s="363">
        <v>0.24549273485780218</v>
      </c>
      <c r="G222" s="363">
        <v>0.24849198582747437</v>
      </c>
      <c r="H222" s="363">
        <v>0.25251690774906282</v>
      </c>
      <c r="I222" s="363">
        <v>0.25279454608212432</v>
      </c>
      <c r="J222" s="363">
        <v>0.25189943283020527</v>
      </c>
      <c r="K222" s="363">
        <v>0.25182616265761093</v>
      </c>
      <c r="L222" s="398">
        <v>0.25182616265761093</v>
      </c>
      <c r="M222" s="314">
        <f t="shared" si="104"/>
        <v>4.0637129748768569E-2</v>
      </c>
      <c r="N222" s="316">
        <f t="shared" si="105"/>
        <v>2.1621963381857522E-2</v>
      </c>
      <c r="O222" s="362">
        <v>0</v>
      </c>
      <c r="P222" s="363">
        <v>6.5318136375456928E-2</v>
      </c>
      <c r="Q222" s="363">
        <v>0.16008260057145285</v>
      </c>
      <c r="R222" s="363">
        <v>0.18882073738205185</v>
      </c>
      <c r="S222" s="363">
        <v>0.24383505056778806</v>
      </c>
      <c r="T222" s="363">
        <v>0.24899524367643877</v>
      </c>
      <c r="U222" s="363">
        <v>0.25251690774906282</v>
      </c>
      <c r="V222" s="363">
        <v>0.25189943283020527</v>
      </c>
      <c r="W222" s="363">
        <v>0.25182616265761093</v>
      </c>
      <c r="X222" s="363">
        <v>0.25182616265761093</v>
      </c>
      <c r="Y222" s="398">
        <v>0.25136591237530354</v>
      </c>
      <c r="Z222" s="314">
        <f t="shared" si="106"/>
        <v>6.0411498317482243E-2</v>
      </c>
      <c r="AA222" s="316">
        <f t="shared" si="107"/>
        <v>3.2564287605758267E-2</v>
      </c>
      <c r="AB222" s="1054">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1055">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334">
        <f t="shared" si="114"/>
        <v>0</v>
      </c>
      <c r="AE222" s="1338">
        <f t="shared" si="111"/>
        <v>4.0637129748768569E-2</v>
      </c>
      <c r="AF222" s="1339">
        <f t="shared" si="112"/>
        <v>6.0411498317482243E-2</v>
      </c>
      <c r="AG222" s="1339">
        <f t="shared" si="113"/>
        <v>0.10104862806625081</v>
      </c>
      <c r="AH222" s="1280">
        <f t="shared" si="109"/>
        <v>0.40215419572174227</v>
      </c>
      <c r="AI222" s="1340">
        <f t="shared" si="110"/>
        <v>0.59784580427825773</v>
      </c>
      <c r="AJ222" s="245"/>
      <c r="AK222" s="245"/>
      <c r="AL222" s="245"/>
      <c r="AM222" s="245"/>
    </row>
    <row r="223" spans="1:39" ht="13.5" thickBot="1" x14ac:dyDescent="0.25">
      <c r="A223" s="346">
        <v>2050</v>
      </c>
      <c r="B223" s="364">
        <v>0</v>
      </c>
      <c r="C223" s="365">
        <v>5.739462109556321E-2</v>
      </c>
      <c r="D223" s="365">
        <v>0.14813929442335586</v>
      </c>
      <c r="E223" s="365">
        <v>0.19096599409792828</v>
      </c>
      <c r="F223" s="365">
        <v>0.2455021859983321</v>
      </c>
      <c r="G223" s="365">
        <v>0.24696454146128191</v>
      </c>
      <c r="H223" s="365">
        <v>0.25252720416084939</v>
      </c>
      <c r="I223" s="365">
        <v>0.25280498273690144</v>
      </c>
      <c r="J223" s="365">
        <v>0.25190996354688872</v>
      </c>
      <c r="K223" s="365">
        <v>0.25183678229605644</v>
      </c>
      <c r="L223" s="399">
        <v>0.25183678229605644</v>
      </c>
      <c r="M223" s="328">
        <f t="shared" si="104"/>
        <v>4.0441033999394159E-2</v>
      </c>
      <c r="N223" s="330">
        <f t="shared" si="105"/>
        <v>2.1519180958283004E-2</v>
      </c>
      <c r="O223" s="364">
        <v>0</v>
      </c>
      <c r="P223" s="365">
        <v>6.4460845140138931E-2</v>
      </c>
      <c r="Q223" s="365">
        <v>0.15861336713303761</v>
      </c>
      <c r="R223" s="365">
        <v>0.18866671632257478</v>
      </c>
      <c r="S223" s="365">
        <v>0.24384468432782455</v>
      </c>
      <c r="T223" s="365">
        <v>0.24900530771374987</v>
      </c>
      <c r="U223" s="365">
        <v>0.25252720416084939</v>
      </c>
      <c r="V223" s="365">
        <v>0.25190996354688872</v>
      </c>
      <c r="W223" s="365">
        <v>0.25183678229605644</v>
      </c>
      <c r="X223" s="365">
        <v>0.25183678229605644</v>
      </c>
      <c r="Y223" s="399">
        <v>0.25137657968027127</v>
      </c>
      <c r="Z223" s="328">
        <f t="shared" si="106"/>
        <v>6.0048484969306738E-2</v>
      </c>
      <c r="AA223" s="330">
        <f t="shared" si="107"/>
        <v>3.2272963341337876E-2</v>
      </c>
      <c r="AB223" s="1056">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1057">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335">
        <f t="shared" si="114"/>
        <v>0</v>
      </c>
      <c r="AE223" s="1341">
        <f t="shared" si="111"/>
        <v>4.0441033999394159E-2</v>
      </c>
      <c r="AF223" s="1342">
        <f t="shared" si="112"/>
        <v>6.0048484969306738E-2</v>
      </c>
      <c r="AG223" s="1342">
        <f t="shared" si="113"/>
        <v>0.1004895189687009</v>
      </c>
      <c r="AH223" s="1343">
        <f t="shared" si="109"/>
        <v>0.40244031829817178</v>
      </c>
      <c r="AI223" s="1344">
        <f t="shared" si="110"/>
        <v>0.59755968170182827</v>
      </c>
      <c r="AJ223" s="245"/>
      <c r="AK223" s="245"/>
      <c r="AL223" s="245"/>
      <c r="AM223" s="245"/>
    </row>
    <row r="224" spans="1:39" x14ac:dyDescent="0.2">
      <c r="B224" s="245" t="s">
        <v>249</v>
      </c>
      <c r="U224" s="245" t="s">
        <v>249</v>
      </c>
      <c r="AI224" s="245"/>
    </row>
    <row r="225" spans="1:35" x14ac:dyDescent="0.2">
      <c r="AI225" s="245"/>
    </row>
    <row r="226" spans="1:35" ht="13.5" thickBot="1" x14ac:dyDescent="0.25">
      <c r="AI226" s="245"/>
    </row>
    <row r="227" spans="1:35" ht="15" x14ac:dyDescent="0.25">
      <c r="A227" s="351"/>
      <c r="B227" s="713" t="s">
        <v>222</v>
      </c>
      <c r="C227" s="714"/>
      <c r="D227" s="714"/>
      <c r="E227" s="714"/>
      <c r="F227" s="714"/>
      <c r="G227" s="714"/>
      <c r="H227" s="714"/>
      <c r="I227" s="714"/>
      <c r="J227" s="714"/>
      <c r="K227" s="714"/>
      <c r="L227" s="714"/>
      <c r="M227" s="714"/>
      <c r="N227" s="715"/>
      <c r="O227" s="713" t="s">
        <v>223</v>
      </c>
      <c r="P227" s="714"/>
      <c r="Q227" s="714"/>
      <c r="R227" s="714"/>
      <c r="S227" s="714"/>
      <c r="T227" s="714"/>
      <c r="U227" s="714"/>
      <c r="V227" s="714"/>
      <c r="W227" s="714"/>
      <c r="X227" s="714"/>
      <c r="Y227" s="714"/>
      <c r="Z227" s="714"/>
      <c r="AA227" s="715"/>
    </row>
    <row r="228" spans="1:35"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C228" s="1060" t="s">
        <v>276</v>
      </c>
      <c r="AD228" s="252" t="b">
        <f>INDEX(TECH_OPT_FUEL2_Cls3,MATCH(RIGHT(O227),TECH_OPT_ROWS_Cls3,0))&lt;&gt;"N/A"</f>
        <v>1</v>
      </c>
    </row>
    <row r="229" spans="1:35"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2"/>
      <c r="AC229" s="1060" t="s">
        <v>277</v>
      </c>
      <c r="AD229" s="252">
        <f>MATCH(RIGHT(O227),TECH_OPT_ROWS_Cls3,0)</f>
        <v>5</v>
      </c>
    </row>
    <row r="230" spans="1:35" ht="14.25" thickTop="1" thickBot="1" x14ac:dyDescent="0.25">
      <c r="A230" s="366" t="s">
        <v>124</v>
      </c>
      <c r="B230" s="358">
        <f t="array" ref="B230:L230">TRANSPOSE(Cls3CentTruckShr)</f>
        <v>0.16490316390132354</v>
      </c>
      <c r="C230" s="359">
        <v>0.14150050624583405</v>
      </c>
      <c r="D230" s="359">
        <v>5.0842757108027201E-2</v>
      </c>
      <c r="E230" s="359">
        <v>1.7493235097392132E-2</v>
      </c>
      <c r="F230" s="359">
        <v>6.5645600537602268E-3</v>
      </c>
      <c r="G230" s="359">
        <v>1.3068268788829179E-4</v>
      </c>
      <c r="H230" s="359">
        <v>2.9863696966199553E-3</v>
      </c>
      <c r="I230" s="359">
        <v>0</v>
      </c>
      <c r="J230" s="359">
        <v>0</v>
      </c>
      <c r="K230" s="359">
        <v>5.0573390409248292E-4</v>
      </c>
      <c r="L230" s="396">
        <v>0</v>
      </c>
      <c r="M230" s="402"/>
      <c r="N230" s="354"/>
      <c r="O230" s="358">
        <f t="array" ref="O230:Y230">TRANSPOSE(Cls3NCentTruckShr)</f>
        <v>0.27324001996593789</v>
      </c>
      <c r="P230" s="359">
        <v>0.25610450783680394</v>
      </c>
      <c r="Q230" s="359">
        <v>4.6572125423937315E-2</v>
      </c>
      <c r="R230" s="359">
        <v>2.2779497082922668E-2</v>
      </c>
      <c r="S230" s="359">
        <v>5.0811779544371336E-3</v>
      </c>
      <c r="T230" s="359">
        <v>2.5955840495899339E-3</v>
      </c>
      <c r="U230" s="359">
        <v>4.3441677754441459E-3</v>
      </c>
      <c r="V230" s="359">
        <v>3.7558983870508854E-3</v>
      </c>
      <c r="W230" s="359">
        <v>4.897828379299261E-4</v>
      </c>
      <c r="X230" s="359">
        <v>0</v>
      </c>
      <c r="Y230" s="1317">
        <v>1.1022999100839563E-4</v>
      </c>
      <c r="Z230" s="1322"/>
      <c r="AA230" s="1323"/>
      <c r="AI230" s="245"/>
    </row>
    <row r="231" spans="1:35" x14ac:dyDescent="0.2">
      <c r="A231" s="349" t="s">
        <v>125</v>
      </c>
      <c r="B231" s="1029">
        <f t="array" ref="B231:L231">TRANSPOSE(Cls3CentVMTShr)</f>
        <v>7.4407503791532936E-2</v>
      </c>
      <c r="C231" s="1030">
        <v>0.15052192967997111</v>
      </c>
      <c r="D231" s="1030">
        <v>8.9028098283245441E-2</v>
      </c>
      <c r="E231" s="1030">
        <v>4.5356257743642811E-2</v>
      </c>
      <c r="F231" s="1030">
        <v>2.1016507050137231E-2</v>
      </c>
      <c r="G231" s="1030">
        <v>4.9007047894213725E-4</v>
      </c>
      <c r="H231" s="1030">
        <v>1.4797621296467818E-2</v>
      </c>
      <c r="I231" s="1030">
        <v>0</v>
      </c>
      <c r="J231" s="1030">
        <v>0</v>
      </c>
      <c r="K231" s="1030">
        <v>3.7103078033661591E-3</v>
      </c>
      <c r="L231" s="1318">
        <v>0</v>
      </c>
      <c r="M231" s="1319"/>
      <c r="N231" s="1320"/>
      <c r="O231" s="1029">
        <f t="array" ref="O231:Y231">TRANSPOSE(Cls3NCentVMTShr)</f>
        <v>0.11481596497083862</v>
      </c>
      <c r="P231" s="1030">
        <v>0.26987209279577573</v>
      </c>
      <c r="Q231" s="1030">
        <v>8.3836105982992667E-2</v>
      </c>
      <c r="R231" s="1030">
        <v>5.9842896537765707E-2</v>
      </c>
      <c r="S231" s="1030">
        <v>1.6413649143963899E-2</v>
      </c>
      <c r="T231" s="1030">
        <v>1.0165768727376887E-2</v>
      </c>
      <c r="U231" s="1030">
        <v>2.0700108148562976E-2</v>
      </c>
      <c r="V231" s="1030">
        <v>2.0956833812228508E-2</v>
      </c>
      <c r="W231" s="1030">
        <v>3.1584958359553582E-3</v>
      </c>
      <c r="X231" s="1030">
        <v>0</v>
      </c>
      <c r="Y231" s="1031">
        <v>9.0978791723388369E-4</v>
      </c>
      <c r="Z231" s="1319"/>
      <c r="AA231" s="1320"/>
      <c r="AB231" s="1574" t="str">
        <f>"% of miles on f2 for Tech "&amp; RIGHT(O226)&amp;" adopters"</f>
        <v>% of miles on f2 for Tech  adopters</v>
      </c>
      <c r="AC231" s="1575"/>
      <c r="AD231" s="1576"/>
      <c r="AE231" s="1345" t="s">
        <v>307</v>
      </c>
      <c r="AF231" s="1346"/>
      <c r="AG231" s="1346"/>
      <c r="AH231" s="1336" t="s">
        <v>306</v>
      </c>
      <c r="AI231" s="1337"/>
    </row>
    <row r="232" spans="1:35" ht="13.5" thickBot="1" x14ac:dyDescent="0.25">
      <c r="A232" s="1048" t="s">
        <v>275</v>
      </c>
      <c r="B232" s="1039">
        <f t="array" ref="B232:L232">TRANSPOSE(Cls3CentVMT/OPDAYS_Cls3)</f>
        <v>49.202805162026571</v>
      </c>
      <c r="C232" s="1040">
        <v>115.99623692884222</v>
      </c>
      <c r="D232" s="1040">
        <v>190.94140758026836</v>
      </c>
      <c r="E232" s="1040">
        <v>282.72824571583544</v>
      </c>
      <c r="F232" s="1040">
        <v>349.10577157713089</v>
      </c>
      <c r="G232" s="1040">
        <v>408.92399999999998</v>
      </c>
      <c r="H232" s="1040">
        <v>540.31926836851005</v>
      </c>
      <c r="I232" s="1040">
        <v>600</v>
      </c>
      <c r="J232" s="1040">
        <v>680</v>
      </c>
      <c r="K232" s="1040">
        <v>800.00000000000011</v>
      </c>
      <c r="L232" s="1041">
        <v>800</v>
      </c>
      <c r="M232" s="1037"/>
      <c r="N232" s="1038"/>
      <c r="O232" s="1039">
        <f t="array" ref="O232:Y232">TRANSPOSE(Cls3NCentVMT/OPDAYS_Cls3)</f>
        <v>45.820527909508108</v>
      </c>
      <c r="P232" s="1040">
        <v>114.90604343518244</v>
      </c>
      <c r="Q232" s="1040">
        <v>196.29405935940918</v>
      </c>
      <c r="R232" s="1040">
        <v>286.46435582159182</v>
      </c>
      <c r="S232" s="1040">
        <v>352.24339419308075</v>
      </c>
      <c r="T232" s="1040">
        <v>427.07804424634116</v>
      </c>
      <c r="U232" s="1040">
        <v>519.59880241076587</v>
      </c>
      <c r="V232" s="1040">
        <v>608.4346682070543</v>
      </c>
      <c r="W232" s="1040">
        <v>703.2</v>
      </c>
      <c r="X232" s="1040">
        <v>760</v>
      </c>
      <c r="Y232" s="1321">
        <v>900</v>
      </c>
      <c r="Z232" s="1049"/>
      <c r="AA232" s="1038"/>
      <c r="AB232" s="1051" t="s">
        <v>188</v>
      </c>
      <c r="AC232" s="1052" t="s">
        <v>15</v>
      </c>
      <c r="AD232" s="1053" t="s">
        <v>18</v>
      </c>
      <c r="AE232" s="348" t="s">
        <v>188</v>
      </c>
      <c r="AF232" s="1347" t="s">
        <v>15</v>
      </c>
      <c r="AG232" s="1347" t="s">
        <v>18</v>
      </c>
      <c r="AH232" s="1348" t="s">
        <v>188</v>
      </c>
      <c r="AI232" s="1349" t="s">
        <v>15</v>
      </c>
    </row>
    <row r="233" spans="1:35" ht="13.5" thickTop="1" x14ac:dyDescent="0.2">
      <c r="A233" s="344">
        <v>2007</v>
      </c>
      <c r="B233" s="360">
        <v>0</v>
      </c>
      <c r="C233" s="361">
        <v>0</v>
      </c>
      <c r="D233" s="361">
        <v>0</v>
      </c>
      <c r="E233" s="361">
        <v>0</v>
      </c>
      <c r="F233" s="361">
        <v>0</v>
      </c>
      <c r="G233" s="361">
        <v>0</v>
      </c>
      <c r="H233" s="361">
        <v>0</v>
      </c>
      <c r="I233" s="361">
        <v>0</v>
      </c>
      <c r="J233" s="361">
        <v>0</v>
      </c>
      <c r="K233" s="361">
        <v>0</v>
      </c>
      <c r="L233" s="397">
        <v>0</v>
      </c>
      <c r="M233" s="405">
        <f>SUMPRODUCT(B233:L233,$B$231:$L$231)</f>
        <v>0</v>
      </c>
      <c r="N233" s="302">
        <f>SUMPRODUCT(B233:L233,$B$230:$L$230)</f>
        <v>0</v>
      </c>
      <c r="O233" s="360">
        <v>0</v>
      </c>
      <c r="P233" s="361">
        <v>0</v>
      </c>
      <c r="Q233" s="361">
        <v>0</v>
      </c>
      <c r="R233" s="361">
        <v>0</v>
      </c>
      <c r="S233" s="361">
        <v>0</v>
      </c>
      <c r="T233" s="361">
        <v>0</v>
      </c>
      <c r="U233" s="361">
        <v>0</v>
      </c>
      <c r="V233" s="361">
        <v>0</v>
      </c>
      <c r="W233" s="361">
        <v>0</v>
      </c>
      <c r="X233" s="361">
        <v>0</v>
      </c>
      <c r="Y233" s="397">
        <v>0</v>
      </c>
      <c r="Z233" s="405">
        <f>SUMPRODUCT(O233:Y233,$O$231:$Y$231)</f>
        <v>0</v>
      </c>
      <c r="AA233" s="302">
        <f>SUMPRODUCT(O233:Y233,$O$230:$Y$230)</f>
        <v>0</v>
      </c>
      <c r="AB233" s="1054">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1055">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334">
        <f>AB233*AH233+AC233*AI233</f>
        <v>0</v>
      </c>
      <c r="AE233" s="1338">
        <f t="shared" ref="AE233:AE247" si="115">SUMPRODUCT($B$74:$L$74,B233:L233)</f>
        <v>0</v>
      </c>
      <c r="AF233" s="1339">
        <f t="shared" ref="AF233:AF247" si="116">SUMPRODUCT($O$74:$Y$74,O233:Y233)</f>
        <v>0</v>
      </c>
      <c r="AG233" s="1339">
        <f t="shared" ref="AG233:AG247" si="117">SUM(AE233:AF233)</f>
        <v>0</v>
      </c>
      <c r="AH233" s="1280">
        <f>IF(AG233&gt;0,AE233/AG233,0)</f>
        <v>0</v>
      </c>
      <c r="AI233" s="1340">
        <f>IF(AG233&gt;0,AF233/AG233,0)</f>
        <v>0</v>
      </c>
    </row>
    <row r="234" spans="1:35"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18">SUMPRODUCT(B234:L234,$B$231:$L$231)</f>
        <v>0</v>
      </c>
      <c r="N234" s="316">
        <f t="shared" ref="N234:N276" si="119">SUMPRODUCT(B234:L234,$B$230:$L$230)</f>
        <v>0</v>
      </c>
      <c r="O234" s="362">
        <v>0</v>
      </c>
      <c r="P234" s="363">
        <v>0</v>
      </c>
      <c r="Q234" s="363">
        <v>0</v>
      </c>
      <c r="R234" s="363">
        <v>0</v>
      </c>
      <c r="S234" s="363">
        <v>0</v>
      </c>
      <c r="T234" s="363">
        <v>0</v>
      </c>
      <c r="U234" s="363">
        <v>0</v>
      </c>
      <c r="V234" s="363">
        <v>0</v>
      </c>
      <c r="W234" s="363">
        <v>0</v>
      </c>
      <c r="X234" s="363">
        <v>0</v>
      </c>
      <c r="Y234" s="398">
        <v>0</v>
      </c>
      <c r="Z234" s="314">
        <f t="shared" ref="Z234:Z276" si="120">SUMPRODUCT(O234:Y234,$O$231:$Y$231)</f>
        <v>0</v>
      </c>
      <c r="AA234" s="316">
        <f t="shared" ref="AA234:AA276" si="121">SUMPRODUCT(O234:Y234,$O$230:$Y$230)</f>
        <v>0</v>
      </c>
      <c r="AB234" s="1054">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1055">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334">
        <f t="shared" ref="AD234:AD258" si="122">AB234*AH234+AC234*AI234</f>
        <v>0</v>
      </c>
      <c r="AE234" s="1338">
        <f t="shared" si="115"/>
        <v>0</v>
      </c>
      <c r="AF234" s="1339">
        <f t="shared" si="116"/>
        <v>0</v>
      </c>
      <c r="AG234" s="1339">
        <f t="shared" si="117"/>
        <v>0</v>
      </c>
      <c r="AH234" s="1280">
        <f t="shared" ref="AH234:AH276" si="123">IF(AG234&gt;0,AE234/AG234,0)</f>
        <v>0</v>
      </c>
      <c r="AI234" s="1340">
        <f t="shared" ref="AI234:AI276" si="124">IF(AG234&gt;0,AF234/AG234,0)</f>
        <v>0</v>
      </c>
    </row>
    <row r="235" spans="1:35" x14ac:dyDescent="0.2">
      <c r="A235" s="345">
        <v>2009</v>
      </c>
      <c r="B235" s="362">
        <v>0</v>
      </c>
      <c r="C235" s="363">
        <v>0</v>
      </c>
      <c r="D235" s="363">
        <v>0</v>
      </c>
      <c r="E235" s="363">
        <v>0</v>
      </c>
      <c r="F235" s="363">
        <v>0</v>
      </c>
      <c r="G235" s="363">
        <v>0</v>
      </c>
      <c r="H235" s="363">
        <v>0</v>
      </c>
      <c r="I235" s="363">
        <v>0</v>
      </c>
      <c r="J235" s="363">
        <v>0</v>
      </c>
      <c r="K235" s="363">
        <v>0</v>
      </c>
      <c r="L235" s="398">
        <v>0</v>
      </c>
      <c r="M235" s="314">
        <f t="shared" si="118"/>
        <v>0</v>
      </c>
      <c r="N235" s="316">
        <f t="shared" si="119"/>
        <v>0</v>
      </c>
      <c r="O235" s="362">
        <v>0</v>
      </c>
      <c r="P235" s="363">
        <v>0</v>
      </c>
      <c r="Q235" s="363">
        <v>0</v>
      </c>
      <c r="R235" s="363">
        <v>0</v>
      </c>
      <c r="S235" s="363">
        <v>0</v>
      </c>
      <c r="T235" s="363">
        <v>0</v>
      </c>
      <c r="U235" s="363">
        <v>0</v>
      </c>
      <c r="V235" s="363">
        <v>0</v>
      </c>
      <c r="W235" s="363">
        <v>0</v>
      </c>
      <c r="X235" s="363">
        <v>0</v>
      </c>
      <c r="Y235" s="398">
        <v>0</v>
      </c>
      <c r="Z235" s="314">
        <f t="shared" si="120"/>
        <v>0</v>
      </c>
      <c r="AA235" s="316">
        <f t="shared" si="121"/>
        <v>0</v>
      </c>
      <c r="AB235" s="1054">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1055">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334">
        <f t="shared" si="122"/>
        <v>0</v>
      </c>
      <c r="AE235" s="1338">
        <f t="shared" si="115"/>
        <v>0</v>
      </c>
      <c r="AF235" s="1339">
        <f t="shared" si="116"/>
        <v>0</v>
      </c>
      <c r="AG235" s="1339">
        <f t="shared" si="117"/>
        <v>0</v>
      </c>
      <c r="AH235" s="1280">
        <f t="shared" si="123"/>
        <v>0</v>
      </c>
      <c r="AI235" s="1340">
        <f t="shared" si="124"/>
        <v>0</v>
      </c>
    </row>
    <row r="236" spans="1:35"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18"/>
        <v>0</v>
      </c>
      <c r="N236" s="330">
        <f t="shared" si="119"/>
        <v>0</v>
      </c>
      <c r="O236" s="364">
        <v>0</v>
      </c>
      <c r="P236" s="365">
        <v>0</v>
      </c>
      <c r="Q236" s="365">
        <v>0</v>
      </c>
      <c r="R236" s="365">
        <v>0</v>
      </c>
      <c r="S236" s="365">
        <v>0</v>
      </c>
      <c r="T236" s="365">
        <v>0</v>
      </c>
      <c r="U236" s="365">
        <v>0</v>
      </c>
      <c r="V236" s="365">
        <v>0</v>
      </c>
      <c r="W236" s="365">
        <v>0</v>
      </c>
      <c r="X236" s="365">
        <v>0</v>
      </c>
      <c r="Y236" s="399">
        <v>0</v>
      </c>
      <c r="Z236" s="328">
        <f t="shared" si="120"/>
        <v>0</v>
      </c>
      <c r="AA236" s="330">
        <f t="shared" si="121"/>
        <v>0</v>
      </c>
      <c r="AB236" s="1054">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1055">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334">
        <f t="shared" si="122"/>
        <v>0</v>
      </c>
      <c r="AE236" s="1338">
        <f t="shared" si="115"/>
        <v>0</v>
      </c>
      <c r="AF236" s="1339">
        <f t="shared" si="116"/>
        <v>0</v>
      </c>
      <c r="AG236" s="1339">
        <f t="shared" si="117"/>
        <v>0</v>
      </c>
      <c r="AH236" s="1280">
        <f t="shared" si="123"/>
        <v>0</v>
      </c>
      <c r="AI236" s="1340">
        <f t="shared" si="124"/>
        <v>0</v>
      </c>
    </row>
    <row r="237" spans="1:35" x14ac:dyDescent="0.2">
      <c r="A237" s="347">
        <v>2011</v>
      </c>
      <c r="B237" s="360">
        <v>0</v>
      </c>
      <c r="C237" s="361">
        <v>0</v>
      </c>
      <c r="D237" s="361">
        <v>0</v>
      </c>
      <c r="E237" s="361">
        <v>0</v>
      </c>
      <c r="F237" s="361">
        <v>0</v>
      </c>
      <c r="G237" s="361">
        <v>0</v>
      </c>
      <c r="H237" s="361">
        <v>0</v>
      </c>
      <c r="I237" s="361">
        <v>0</v>
      </c>
      <c r="J237" s="361">
        <v>0</v>
      </c>
      <c r="K237" s="361">
        <v>0</v>
      </c>
      <c r="L237" s="397">
        <v>0</v>
      </c>
      <c r="M237" s="300">
        <f t="shared" si="118"/>
        <v>0</v>
      </c>
      <c r="N237" s="302">
        <f t="shared" si="119"/>
        <v>0</v>
      </c>
      <c r="O237" s="360">
        <v>0</v>
      </c>
      <c r="P237" s="361">
        <v>0</v>
      </c>
      <c r="Q237" s="361">
        <v>0</v>
      </c>
      <c r="R237" s="361">
        <v>0</v>
      </c>
      <c r="S237" s="361">
        <v>0</v>
      </c>
      <c r="T237" s="361">
        <v>0</v>
      </c>
      <c r="U237" s="361">
        <v>0</v>
      </c>
      <c r="V237" s="361">
        <v>0</v>
      </c>
      <c r="W237" s="361">
        <v>0</v>
      </c>
      <c r="X237" s="361">
        <v>0</v>
      </c>
      <c r="Y237" s="397">
        <v>0</v>
      </c>
      <c r="Z237" s="300">
        <f t="shared" si="120"/>
        <v>0</v>
      </c>
      <c r="AA237" s="302">
        <f t="shared" si="121"/>
        <v>0</v>
      </c>
      <c r="AB237" s="1054">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1055">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334">
        <f t="shared" si="122"/>
        <v>0</v>
      </c>
      <c r="AE237" s="1338">
        <f t="shared" si="115"/>
        <v>0</v>
      </c>
      <c r="AF237" s="1339">
        <f t="shared" si="116"/>
        <v>0</v>
      </c>
      <c r="AG237" s="1339">
        <f t="shared" si="117"/>
        <v>0</v>
      </c>
      <c r="AH237" s="1280">
        <f t="shared" si="123"/>
        <v>0</v>
      </c>
      <c r="AI237" s="1340">
        <f t="shared" si="124"/>
        <v>0</v>
      </c>
    </row>
    <row r="238" spans="1:35" x14ac:dyDescent="0.2">
      <c r="A238" s="348">
        <v>2012</v>
      </c>
      <c r="B238" s="362">
        <v>0</v>
      </c>
      <c r="C238" s="363">
        <v>0</v>
      </c>
      <c r="D238" s="363">
        <v>0</v>
      </c>
      <c r="E238" s="363">
        <v>0</v>
      </c>
      <c r="F238" s="363">
        <v>0</v>
      </c>
      <c r="G238" s="363">
        <v>0</v>
      </c>
      <c r="H238" s="363">
        <v>0</v>
      </c>
      <c r="I238" s="363">
        <v>0</v>
      </c>
      <c r="J238" s="363">
        <v>0</v>
      </c>
      <c r="K238" s="363">
        <v>0</v>
      </c>
      <c r="L238" s="398">
        <v>0</v>
      </c>
      <c r="M238" s="314">
        <f t="shared" si="118"/>
        <v>0</v>
      </c>
      <c r="N238" s="316">
        <f t="shared" si="119"/>
        <v>0</v>
      </c>
      <c r="O238" s="362">
        <v>0</v>
      </c>
      <c r="P238" s="363">
        <v>0</v>
      </c>
      <c r="Q238" s="363">
        <v>0</v>
      </c>
      <c r="R238" s="363">
        <v>0</v>
      </c>
      <c r="S238" s="363">
        <v>0</v>
      </c>
      <c r="T238" s="363">
        <v>0</v>
      </c>
      <c r="U238" s="363">
        <v>0</v>
      </c>
      <c r="V238" s="363">
        <v>0</v>
      </c>
      <c r="W238" s="363">
        <v>0</v>
      </c>
      <c r="X238" s="363">
        <v>0</v>
      </c>
      <c r="Y238" s="398">
        <v>0</v>
      </c>
      <c r="Z238" s="314">
        <f t="shared" si="120"/>
        <v>0</v>
      </c>
      <c r="AA238" s="316">
        <f t="shared" si="121"/>
        <v>0</v>
      </c>
      <c r="AB238" s="1054">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1055">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334">
        <f t="shared" si="122"/>
        <v>0</v>
      </c>
      <c r="AE238" s="1338">
        <f t="shared" si="115"/>
        <v>0</v>
      </c>
      <c r="AF238" s="1339">
        <f t="shared" si="116"/>
        <v>0</v>
      </c>
      <c r="AG238" s="1339">
        <f t="shared" si="117"/>
        <v>0</v>
      </c>
      <c r="AH238" s="1280">
        <f t="shared" si="123"/>
        <v>0</v>
      </c>
      <c r="AI238" s="1340">
        <f t="shared" si="124"/>
        <v>0</v>
      </c>
    </row>
    <row r="239" spans="1:35" x14ac:dyDescent="0.2">
      <c r="A239" s="348">
        <v>2013</v>
      </c>
      <c r="B239" s="362">
        <v>0</v>
      </c>
      <c r="C239" s="363">
        <v>0</v>
      </c>
      <c r="D239" s="363">
        <v>0</v>
      </c>
      <c r="E239" s="363">
        <v>0</v>
      </c>
      <c r="F239" s="363">
        <v>0</v>
      </c>
      <c r="G239" s="363">
        <v>0</v>
      </c>
      <c r="H239" s="363">
        <v>0</v>
      </c>
      <c r="I239" s="363">
        <v>0</v>
      </c>
      <c r="J239" s="363">
        <v>0</v>
      </c>
      <c r="K239" s="363">
        <v>0</v>
      </c>
      <c r="L239" s="398">
        <v>0</v>
      </c>
      <c r="M239" s="314">
        <f t="shared" si="118"/>
        <v>0</v>
      </c>
      <c r="N239" s="316">
        <f t="shared" si="119"/>
        <v>0</v>
      </c>
      <c r="O239" s="362">
        <v>0</v>
      </c>
      <c r="P239" s="363">
        <v>0</v>
      </c>
      <c r="Q239" s="363">
        <v>0</v>
      </c>
      <c r="R239" s="363">
        <v>0</v>
      </c>
      <c r="S239" s="363">
        <v>0</v>
      </c>
      <c r="T239" s="363">
        <v>0</v>
      </c>
      <c r="U239" s="363">
        <v>0</v>
      </c>
      <c r="V239" s="363">
        <v>0</v>
      </c>
      <c r="W239" s="363">
        <v>0</v>
      </c>
      <c r="X239" s="363">
        <v>0</v>
      </c>
      <c r="Y239" s="398">
        <v>0</v>
      </c>
      <c r="Z239" s="314">
        <f t="shared" si="120"/>
        <v>0</v>
      </c>
      <c r="AA239" s="316">
        <f t="shared" si="121"/>
        <v>0</v>
      </c>
      <c r="AB239" s="1054">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1055">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334">
        <f t="shared" si="122"/>
        <v>0</v>
      </c>
      <c r="AE239" s="1338">
        <f t="shared" si="115"/>
        <v>0</v>
      </c>
      <c r="AF239" s="1339">
        <f t="shared" si="116"/>
        <v>0</v>
      </c>
      <c r="AG239" s="1339">
        <f t="shared" si="117"/>
        <v>0</v>
      </c>
      <c r="AH239" s="1280">
        <f t="shared" si="123"/>
        <v>0</v>
      </c>
      <c r="AI239" s="1340">
        <f t="shared" si="124"/>
        <v>0</v>
      </c>
    </row>
    <row r="240" spans="1:35" x14ac:dyDescent="0.2">
      <c r="A240" s="348">
        <v>2014</v>
      </c>
      <c r="B240" s="362">
        <v>0</v>
      </c>
      <c r="C240" s="363">
        <v>0</v>
      </c>
      <c r="D240" s="363">
        <v>0</v>
      </c>
      <c r="E240" s="363">
        <v>0</v>
      </c>
      <c r="F240" s="363">
        <v>0</v>
      </c>
      <c r="G240" s="363">
        <v>0</v>
      </c>
      <c r="H240" s="363">
        <v>0</v>
      </c>
      <c r="I240" s="363">
        <v>0</v>
      </c>
      <c r="J240" s="363">
        <v>0</v>
      </c>
      <c r="K240" s="363">
        <v>0</v>
      </c>
      <c r="L240" s="398">
        <v>0</v>
      </c>
      <c r="M240" s="314">
        <f t="shared" si="118"/>
        <v>0</v>
      </c>
      <c r="N240" s="316">
        <f t="shared" si="119"/>
        <v>0</v>
      </c>
      <c r="O240" s="362">
        <v>0</v>
      </c>
      <c r="P240" s="363">
        <v>0</v>
      </c>
      <c r="Q240" s="363">
        <v>0</v>
      </c>
      <c r="R240" s="363">
        <v>0</v>
      </c>
      <c r="S240" s="363">
        <v>0</v>
      </c>
      <c r="T240" s="363">
        <v>0</v>
      </c>
      <c r="U240" s="363">
        <v>0</v>
      </c>
      <c r="V240" s="363">
        <v>0</v>
      </c>
      <c r="W240" s="363">
        <v>0</v>
      </c>
      <c r="X240" s="363">
        <v>0</v>
      </c>
      <c r="Y240" s="398">
        <v>0</v>
      </c>
      <c r="Z240" s="314">
        <f t="shared" si="120"/>
        <v>0</v>
      </c>
      <c r="AA240" s="316">
        <f t="shared" si="121"/>
        <v>0</v>
      </c>
      <c r="AB240" s="1054">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1055">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334">
        <f t="shared" si="122"/>
        <v>0</v>
      </c>
      <c r="AE240" s="1338">
        <f t="shared" si="115"/>
        <v>0</v>
      </c>
      <c r="AF240" s="1339">
        <f t="shared" si="116"/>
        <v>0</v>
      </c>
      <c r="AG240" s="1339">
        <f t="shared" si="117"/>
        <v>0</v>
      </c>
      <c r="AH240" s="1280">
        <f t="shared" si="123"/>
        <v>0</v>
      </c>
      <c r="AI240" s="1340">
        <f t="shared" si="124"/>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18"/>
        <v>0</v>
      </c>
      <c r="N241" s="330">
        <f t="shared" si="119"/>
        <v>0</v>
      </c>
      <c r="O241" s="364">
        <v>0</v>
      </c>
      <c r="P241" s="365">
        <v>0</v>
      </c>
      <c r="Q241" s="365">
        <v>0</v>
      </c>
      <c r="R241" s="365">
        <v>0</v>
      </c>
      <c r="S241" s="365">
        <v>0</v>
      </c>
      <c r="T241" s="365">
        <v>0</v>
      </c>
      <c r="U241" s="365">
        <v>0</v>
      </c>
      <c r="V241" s="365">
        <v>0</v>
      </c>
      <c r="W241" s="365">
        <v>0</v>
      </c>
      <c r="X241" s="365">
        <v>0</v>
      </c>
      <c r="Y241" s="399">
        <v>0</v>
      </c>
      <c r="Z241" s="328">
        <f t="shared" si="120"/>
        <v>0</v>
      </c>
      <c r="AA241" s="330">
        <f t="shared" si="121"/>
        <v>0</v>
      </c>
      <c r="AB241" s="1054">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1055">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334">
        <f t="shared" si="122"/>
        <v>0</v>
      </c>
      <c r="AE241" s="1338">
        <f t="shared" si="115"/>
        <v>0</v>
      </c>
      <c r="AF241" s="1339">
        <f t="shared" si="116"/>
        <v>0</v>
      </c>
      <c r="AG241" s="1339">
        <f t="shared" si="117"/>
        <v>0</v>
      </c>
      <c r="AH241" s="1280">
        <f t="shared" si="123"/>
        <v>0</v>
      </c>
      <c r="AI241" s="1340">
        <f t="shared" si="124"/>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18"/>
        <v>0</v>
      </c>
      <c r="N242" s="302">
        <f t="shared" si="119"/>
        <v>0</v>
      </c>
      <c r="O242" s="360">
        <v>0</v>
      </c>
      <c r="P242" s="361">
        <v>0</v>
      </c>
      <c r="Q242" s="361">
        <v>0</v>
      </c>
      <c r="R242" s="361">
        <v>0</v>
      </c>
      <c r="S242" s="361">
        <v>0</v>
      </c>
      <c r="T242" s="361">
        <v>0</v>
      </c>
      <c r="U242" s="361">
        <v>0</v>
      </c>
      <c r="V242" s="361">
        <v>0</v>
      </c>
      <c r="W242" s="361">
        <v>0</v>
      </c>
      <c r="X242" s="361">
        <v>0</v>
      </c>
      <c r="Y242" s="397">
        <v>0</v>
      </c>
      <c r="Z242" s="300">
        <f t="shared" si="120"/>
        <v>0</v>
      </c>
      <c r="AA242" s="302">
        <f t="shared" si="121"/>
        <v>0</v>
      </c>
      <c r="AB242" s="1054">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1055">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334">
        <f t="shared" si="122"/>
        <v>0</v>
      </c>
      <c r="AE242" s="1338">
        <f t="shared" si="115"/>
        <v>0</v>
      </c>
      <c r="AF242" s="1339">
        <f t="shared" si="116"/>
        <v>0</v>
      </c>
      <c r="AG242" s="1339">
        <f t="shared" si="117"/>
        <v>0</v>
      </c>
      <c r="AH242" s="1280">
        <f t="shared" si="123"/>
        <v>0</v>
      </c>
      <c r="AI242" s="1340">
        <f t="shared" si="124"/>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18"/>
        <v>0</v>
      </c>
      <c r="N243" s="316">
        <f t="shared" si="119"/>
        <v>0</v>
      </c>
      <c r="O243" s="362">
        <v>0</v>
      </c>
      <c r="P243" s="363">
        <v>0</v>
      </c>
      <c r="Q243" s="363">
        <v>0</v>
      </c>
      <c r="R243" s="363">
        <v>0</v>
      </c>
      <c r="S243" s="363">
        <v>0</v>
      </c>
      <c r="T243" s="363">
        <v>0</v>
      </c>
      <c r="U243" s="363">
        <v>0</v>
      </c>
      <c r="V243" s="363">
        <v>0</v>
      </c>
      <c r="W243" s="363">
        <v>0</v>
      </c>
      <c r="X243" s="363">
        <v>0</v>
      </c>
      <c r="Y243" s="398">
        <v>0</v>
      </c>
      <c r="Z243" s="314">
        <f t="shared" si="120"/>
        <v>0</v>
      </c>
      <c r="AA243" s="316">
        <f t="shared" si="121"/>
        <v>0</v>
      </c>
      <c r="AB243" s="1054">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1055">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334">
        <f t="shared" si="122"/>
        <v>0</v>
      </c>
      <c r="AE243" s="1338">
        <f t="shared" si="115"/>
        <v>0</v>
      </c>
      <c r="AF243" s="1339">
        <f t="shared" si="116"/>
        <v>0</v>
      </c>
      <c r="AG243" s="1339">
        <f t="shared" si="117"/>
        <v>0</v>
      </c>
      <c r="AH243" s="1280">
        <f t="shared" si="123"/>
        <v>0</v>
      </c>
      <c r="AI243" s="1340">
        <f t="shared" si="124"/>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18"/>
        <v>0</v>
      </c>
      <c r="N244" s="316">
        <f t="shared" si="119"/>
        <v>0</v>
      </c>
      <c r="O244" s="362">
        <v>0</v>
      </c>
      <c r="P244" s="363">
        <v>0</v>
      </c>
      <c r="Q244" s="363">
        <v>0</v>
      </c>
      <c r="R244" s="363">
        <v>0</v>
      </c>
      <c r="S244" s="363">
        <v>0</v>
      </c>
      <c r="T244" s="363">
        <v>0</v>
      </c>
      <c r="U244" s="363">
        <v>0</v>
      </c>
      <c r="V244" s="363">
        <v>0</v>
      </c>
      <c r="W244" s="363">
        <v>0</v>
      </c>
      <c r="X244" s="363">
        <v>0</v>
      </c>
      <c r="Y244" s="398">
        <v>0</v>
      </c>
      <c r="Z244" s="314">
        <f t="shared" si="120"/>
        <v>0</v>
      </c>
      <c r="AA244" s="316">
        <f t="shared" si="121"/>
        <v>0</v>
      </c>
      <c r="AB244" s="1054">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1055">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334">
        <f t="shared" si="122"/>
        <v>0</v>
      </c>
      <c r="AE244" s="1338">
        <f t="shared" si="115"/>
        <v>0</v>
      </c>
      <c r="AF244" s="1339">
        <f t="shared" si="116"/>
        <v>0</v>
      </c>
      <c r="AG244" s="1339">
        <f t="shared" si="117"/>
        <v>0</v>
      </c>
      <c r="AH244" s="1280">
        <f t="shared" si="123"/>
        <v>0</v>
      </c>
      <c r="AI244" s="1340">
        <f t="shared" si="124"/>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18"/>
        <v>0</v>
      </c>
      <c r="N245" s="316">
        <f t="shared" si="119"/>
        <v>0</v>
      </c>
      <c r="O245" s="362">
        <v>0</v>
      </c>
      <c r="P245" s="363">
        <v>0</v>
      </c>
      <c r="Q245" s="363">
        <v>0</v>
      </c>
      <c r="R245" s="363">
        <v>0</v>
      </c>
      <c r="S245" s="363">
        <v>0</v>
      </c>
      <c r="T245" s="363">
        <v>0</v>
      </c>
      <c r="U245" s="363">
        <v>0</v>
      </c>
      <c r="V245" s="363">
        <v>0</v>
      </c>
      <c r="W245" s="363">
        <v>0</v>
      </c>
      <c r="X245" s="363">
        <v>0</v>
      </c>
      <c r="Y245" s="398">
        <v>0</v>
      </c>
      <c r="Z245" s="314">
        <f t="shared" si="120"/>
        <v>0</v>
      </c>
      <c r="AA245" s="316">
        <f t="shared" si="121"/>
        <v>0</v>
      </c>
      <c r="AB245" s="1054">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1055">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334">
        <f t="shared" si="122"/>
        <v>0</v>
      </c>
      <c r="AE245" s="1338">
        <f t="shared" si="115"/>
        <v>0</v>
      </c>
      <c r="AF245" s="1339">
        <f t="shared" si="116"/>
        <v>0</v>
      </c>
      <c r="AG245" s="1339">
        <f t="shared" si="117"/>
        <v>0</v>
      </c>
      <c r="AH245" s="1280">
        <f t="shared" si="123"/>
        <v>0</v>
      </c>
      <c r="AI245" s="1340">
        <f t="shared" si="124"/>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18"/>
        <v>0</v>
      </c>
      <c r="N246" s="330">
        <f t="shared" si="119"/>
        <v>0</v>
      </c>
      <c r="O246" s="364">
        <v>0</v>
      </c>
      <c r="P246" s="365">
        <v>0</v>
      </c>
      <c r="Q246" s="365">
        <v>0</v>
      </c>
      <c r="R246" s="365">
        <v>0</v>
      </c>
      <c r="S246" s="365">
        <v>0</v>
      </c>
      <c r="T246" s="365">
        <v>0</v>
      </c>
      <c r="U246" s="365">
        <v>0</v>
      </c>
      <c r="V246" s="365">
        <v>0</v>
      </c>
      <c r="W246" s="365">
        <v>0</v>
      </c>
      <c r="X246" s="365">
        <v>0</v>
      </c>
      <c r="Y246" s="399">
        <v>0</v>
      </c>
      <c r="Z246" s="328">
        <f t="shared" si="120"/>
        <v>0</v>
      </c>
      <c r="AA246" s="330">
        <f t="shared" si="121"/>
        <v>0</v>
      </c>
      <c r="AB246" s="1054">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1055">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334">
        <f t="shared" si="122"/>
        <v>0</v>
      </c>
      <c r="AE246" s="1338">
        <f t="shared" si="115"/>
        <v>0</v>
      </c>
      <c r="AF246" s="1339">
        <f t="shared" si="116"/>
        <v>0</v>
      </c>
      <c r="AG246" s="1339">
        <f t="shared" si="117"/>
        <v>0</v>
      </c>
      <c r="AH246" s="1280">
        <f t="shared" si="123"/>
        <v>0</v>
      </c>
      <c r="AI246" s="1340">
        <f t="shared" si="124"/>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18"/>
        <v>0</v>
      </c>
      <c r="N247" s="302">
        <f t="shared" si="119"/>
        <v>0</v>
      </c>
      <c r="O247" s="360">
        <v>0</v>
      </c>
      <c r="P247" s="361">
        <v>0</v>
      </c>
      <c r="Q247" s="361">
        <v>0</v>
      </c>
      <c r="R247" s="361">
        <v>0</v>
      </c>
      <c r="S247" s="361">
        <v>0</v>
      </c>
      <c r="T247" s="361">
        <v>0</v>
      </c>
      <c r="U247" s="361">
        <v>0</v>
      </c>
      <c r="V247" s="361">
        <v>0</v>
      </c>
      <c r="W247" s="361">
        <v>0</v>
      </c>
      <c r="X247" s="361">
        <v>0</v>
      </c>
      <c r="Y247" s="397">
        <v>0</v>
      </c>
      <c r="Z247" s="300">
        <f t="shared" si="120"/>
        <v>0</v>
      </c>
      <c r="AA247" s="302">
        <f t="shared" si="121"/>
        <v>0</v>
      </c>
      <c r="AB247" s="1054">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1055">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334">
        <f t="shared" si="122"/>
        <v>0</v>
      </c>
      <c r="AE247" s="1338">
        <f t="shared" si="115"/>
        <v>0</v>
      </c>
      <c r="AF247" s="1339">
        <f t="shared" si="116"/>
        <v>0</v>
      </c>
      <c r="AG247" s="1339">
        <f t="shared" si="117"/>
        <v>0</v>
      </c>
      <c r="AH247" s="1280">
        <f t="shared" si="123"/>
        <v>0</v>
      </c>
      <c r="AI247" s="1340">
        <f t="shared" si="124"/>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18"/>
        <v>0</v>
      </c>
      <c r="N248" s="316">
        <f t="shared" si="119"/>
        <v>0</v>
      </c>
      <c r="O248" s="362">
        <v>0</v>
      </c>
      <c r="P248" s="363">
        <v>0</v>
      </c>
      <c r="Q248" s="363">
        <v>0</v>
      </c>
      <c r="R248" s="363">
        <v>0</v>
      </c>
      <c r="S248" s="363">
        <v>0</v>
      </c>
      <c r="T248" s="363">
        <v>0</v>
      </c>
      <c r="U248" s="363">
        <v>0</v>
      </c>
      <c r="V248" s="363">
        <v>0</v>
      </c>
      <c r="W248" s="363">
        <v>0</v>
      </c>
      <c r="X248" s="363">
        <v>0</v>
      </c>
      <c r="Y248" s="398">
        <v>0</v>
      </c>
      <c r="Z248" s="314">
        <f t="shared" si="120"/>
        <v>0</v>
      </c>
      <c r="AA248" s="316">
        <f t="shared" si="121"/>
        <v>0</v>
      </c>
      <c r="AB248" s="1054">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1055">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334">
        <f t="shared" si="122"/>
        <v>0</v>
      </c>
      <c r="AE248" s="1338">
        <f>SUMPRODUCT($B$74:$L$74,B248:L248)</f>
        <v>0</v>
      </c>
      <c r="AF248" s="1339">
        <f>SUMPRODUCT($O$74:$Y$74,O248:Y248)</f>
        <v>0</v>
      </c>
      <c r="AG248" s="1339">
        <f>SUM(AE248:AF248)</f>
        <v>0</v>
      </c>
      <c r="AH248" s="1280">
        <f t="shared" si="123"/>
        <v>0</v>
      </c>
      <c r="AI248" s="1340">
        <f t="shared" si="124"/>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18"/>
        <v>0</v>
      </c>
      <c r="N249" s="316">
        <f t="shared" si="119"/>
        <v>0</v>
      </c>
      <c r="O249" s="362">
        <v>0</v>
      </c>
      <c r="P249" s="363">
        <v>0</v>
      </c>
      <c r="Q249" s="363">
        <v>0</v>
      </c>
      <c r="R249" s="363">
        <v>0</v>
      </c>
      <c r="S249" s="363">
        <v>0</v>
      </c>
      <c r="T249" s="363">
        <v>0</v>
      </c>
      <c r="U249" s="363">
        <v>0</v>
      </c>
      <c r="V249" s="363">
        <v>0</v>
      </c>
      <c r="W249" s="363">
        <v>0</v>
      </c>
      <c r="X249" s="363">
        <v>0</v>
      </c>
      <c r="Y249" s="398">
        <v>0</v>
      </c>
      <c r="Z249" s="314">
        <f t="shared" si="120"/>
        <v>0</v>
      </c>
      <c r="AA249" s="316">
        <f t="shared" si="121"/>
        <v>0</v>
      </c>
      <c r="AB249" s="1054">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1055">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334">
        <f t="shared" si="122"/>
        <v>0</v>
      </c>
      <c r="AE249" s="1338">
        <f t="shared" ref="AE249:AE276" si="125">SUMPRODUCT($B$74:$L$74,B249:L249)</f>
        <v>0</v>
      </c>
      <c r="AF249" s="1339">
        <f t="shared" ref="AF249:AF276" si="126">SUMPRODUCT($O$74:$Y$74,O249:Y249)</f>
        <v>0</v>
      </c>
      <c r="AG249" s="1339">
        <f t="shared" ref="AG249:AG276" si="127">SUM(AE249:AF249)</f>
        <v>0</v>
      </c>
      <c r="AH249" s="1280">
        <f t="shared" si="123"/>
        <v>0</v>
      </c>
      <c r="AI249" s="1340">
        <f t="shared" si="124"/>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18"/>
        <v>0</v>
      </c>
      <c r="N250" s="316">
        <f t="shared" si="119"/>
        <v>0</v>
      </c>
      <c r="O250" s="362">
        <v>0</v>
      </c>
      <c r="P250" s="363">
        <v>0</v>
      </c>
      <c r="Q250" s="363">
        <v>0</v>
      </c>
      <c r="R250" s="363">
        <v>0</v>
      </c>
      <c r="S250" s="363">
        <v>0</v>
      </c>
      <c r="T250" s="363">
        <v>0</v>
      </c>
      <c r="U250" s="363">
        <v>0</v>
      </c>
      <c r="V250" s="363">
        <v>0</v>
      </c>
      <c r="W250" s="363">
        <v>0</v>
      </c>
      <c r="X250" s="363">
        <v>0</v>
      </c>
      <c r="Y250" s="398">
        <v>0</v>
      </c>
      <c r="Z250" s="314">
        <f t="shared" si="120"/>
        <v>0</v>
      </c>
      <c r="AA250" s="316">
        <f t="shared" si="121"/>
        <v>0</v>
      </c>
      <c r="AB250" s="1054">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1055">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334">
        <f t="shared" si="122"/>
        <v>0</v>
      </c>
      <c r="AE250" s="1338">
        <f t="shared" si="125"/>
        <v>0</v>
      </c>
      <c r="AF250" s="1339">
        <f t="shared" si="126"/>
        <v>0</v>
      </c>
      <c r="AG250" s="1339">
        <f t="shared" si="127"/>
        <v>0</v>
      </c>
      <c r="AH250" s="1280">
        <f t="shared" si="123"/>
        <v>0</v>
      </c>
      <c r="AI250" s="1340">
        <f t="shared" si="124"/>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18"/>
        <v>0</v>
      </c>
      <c r="N251" s="330">
        <f t="shared" si="119"/>
        <v>0</v>
      </c>
      <c r="O251" s="364">
        <v>0</v>
      </c>
      <c r="P251" s="365">
        <v>0</v>
      </c>
      <c r="Q251" s="365">
        <v>0</v>
      </c>
      <c r="R251" s="365">
        <v>0</v>
      </c>
      <c r="S251" s="365">
        <v>0</v>
      </c>
      <c r="T251" s="365">
        <v>0</v>
      </c>
      <c r="U251" s="365">
        <v>0</v>
      </c>
      <c r="V251" s="365">
        <v>0</v>
      </c>
      <c r="W251" s="365">
        <v>0</v>
      </c>
      <c r="X251" s="365">
        <v>1.5760668423621149E-5</v>
      </c>
      <c r="Y251" s="399">
        <v>4.2387854852619092E-4</v>
      </c>
      <c r="Z251" s="328">
        <f t="shared" si="120"/>
        <v>3.8563958182376492E-7</v>
      </c>
      <c r="AA251" s="330">
        <f t="shared" si="121"/>
        <v>4.6724128592693818E-8</v>
      </c>
      <c r="AB251" s="1054">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1055">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0.16817204428324783</v>
      </c>
      <c r="AD251" s="1334">
        <f t="shared" si="122"/>
        <v>0.16817204428324783</v>
      </c>
      <c r="AE251" s="1338">
        <f t="shared" si="125"/>
        <v>0</v>
      </c>
      <c r="AF251" s="1339">
        <f t="shared" si="126"/>
        <v>3.8563958182376492E-7</v>
      </c>
      <c r="AG251" s="1339">
        <f t="shared" si="127"/>
        <v>3.8563958182376492E-7</v>
      </c>
      <c r="AH251" s="1280">
        <f t="shared" si="123"/>
        <v>0</v>
      </c>
      <c r="AI251" s="1340">
        <f t="shared" si="124"/>
        <v>1</v>
      </c>
    </row>
    <row r="252" spans="1:35" x14ac:dyDescent="0.2">
      <c r="A252" s="347">
        <v>2026</v>
      </c>
      <c r="B252" s="360">
        <v>0</v>
      </c>
      <c r="C252" s="361">
        <v>0</v>
      </c>
      <c r="D252" s="361">
        <v>0</v>
      </c>
      <c r="E252" s="361">
        <v>0</v>
      </c>
      <c r="F252" s="361">
        <v>0</v>
      </c>
      <c r="G252" s="361">
        <v>0</v>
      </c>
      <c r="H252" s="361">
        <v>0</v>
      </c>
      <c r="I252" s="361">
        <v>0</v>
      </c>
      <c r="J252" s="361">
        <v>0</v>
      </c>
      <c r="K252" s="361">
        <v>5.3273546792088693E-4</v>
      </c>
      <c r="L252" s="397">
        <v>5.3273546792088693E-4</v>
      </c>
      <c r="M252" s="300">
        <f t="shared" si="118"/>
        <v>1.976612563756789E-6</v>
      </c>
      <c r="N252" s="302">
        <f t="shared" si="119"/>
        <v>2.6942238804016585E-7</v>
      </c>
      <c r="O252" s="360">
        <v>0</v>
      </c>
      <c r="P252" s="361">
        <v>0</v>
      </c>
      <c r="Q252" s="361">
        <v>0</v>
      </c>
      <c r="R252" s="361">
        <v>0</v>
      </c>
      <c r="S252" s="361">
        <v>0</v>
      </c>
      <c r="T252" s="361">
        <v>0</v>
      </c>
      <c r="U252" s="361">
        <v>0</v>
      </c>
      <c r="V252" s="361">
        <v>0</v>
      </c>
      <c r="W252" s="361">
        <v>2.7931916926812072E-4</v>
      </c>
      <c r="X252" s="361">
        <v>9.8580416606320535E-4</v>
      </c>
      <c r="Y252" s="397">
        <v>6.4554374500682262E-3</v>
      </c>
      <c r="Z252" s="300">
        <f t="shared" si="120"/>
        <v>6.7553074255670535E-6</v>
      </c>
      <c r="AA252" s="302">
        <f t="shared" si="121"/>
        <v>8.4838854748865062E-7</v>
      </c>
      <c r="AB252" s="1054">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1055">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0.1750715962450527</v>
      </c>
      <c r="AD252" s="1334">
        <f t="shared" si="122"/>
        <v>0.17845331445709606</v>
      </c>
      <c r="AE252" s="1338">
        <f t="shared" si="125"/>
        <v>1.976612563756789E-6</v>
      </c>
      <c r="AF252" s="1339">
        <f t="shared" si="126"/>
        <v>6.7553074255670535E-6</v>
      </c>
      <c r="AG252" s="1339">
        <f t="shared" si="127"/>
        <v>8.7319199893238425E-6</v>
      </c>
      <c r="AH252" s="1280">
        <f t="shared" si="123"/>
        <v>0.22636631647719074</v>
      </c>
      <c r="AI252" s="1340">
        <f t="shared" si="124"/>
        <v>0.77363368352280926</v>
      </c>
    </row>
    <row r="253" spans="1:35" x14ac:dyDescent="0.2">
      <c r="A253" s="348">
        <v>2027</v>
      </c>
      <c r="B253" s="362">
        <v>0</v>
      </c>
      <c r="C253" s="363">
        <v>0</v>
      </c>
      <c r="D253" s="363">
        <v>0</v>
      </c>
      <c r="E253" s="363">
        <v>0</v>
      </c>
      <c r="F253" s="363">
        <v>0</v>
      </c>
      <c r="G253" s="363">
        <v>0</v>
      </c>
      <c r="H253" s="363">
        <v>0</v>
      </c>
      <c r="I253" s="363">
        <v>1.9794069458074176E-4</v>
      </c>
      <c r="J253" s="363">
        <v>1.848501618458496E-3</v>
      </c>
      <c r="K253" s="363">
        <v>1.0099220959914975E-2</v>
      </c>
      <c r="L253" s="398">
        <v>1.0099220959914975E-2</v>
      </c>
      <c r="M253" s="314">
        <f t="shared" si="118"/>
        <v>3.7471218335491601E-5</v>
      </c>
      <c r="N253" s="316">
        <f t="shared" si="119"/>
        <v>5.107518444350433E-6</v>
      </c>
      <c r="O253" s="362">
        <v>0</v>
      </c>
      <c r="P253" s="363">
        <v>0</v>
      </c>
      <c r="Q253" s="363">
        <v>0</v>
      </c>
      <c r="R253" s="363">
        <v>0</v>
      </c>
      <c r="S253" s="363">
        <v>0</v>
      </c>
      <c r="T253" s="363">
        <v>0</v>
      </c>
      <c r="U253" s="363">
        <v>6.7332630052805012E-5</v>
      </c>
      <c r="V253" s="363">
        <v>1.3764062729460839E-3</v>
      </c>
      <c r="W253" s="363">
        <v>7.0561462260647955E-3</v>
      </c>
      <c r="X253" s="363">
        <v>1.2675825802939274E-2</v>
      </c>
      <c r="Y253" s="398">
        <v>3.1180590177299818E-2</v>
      </c>
      <c r="Z253" s="314">
        <f t="shared" si="120"/>
        <v>8.0893442912706822E-5</v>
      </c>
      <c r="AA253" s="316">
        <f t="shared" si="121"/>
        <v>1.2355161840526995E-5</v>
      </c>
      <c r="AB253" s="1054">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1055">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0.21382816750169512</v>
      </c>
      <c r="AD253" s="1334">
        <f t="shared" si="122"/>
        <v>0.20654687976471892</v>
      </c>
      <c r="AE253" s="1338">
        <f t="shared" si="125"/>
        <v>3.7471218335491601E-5</v>
      </c>
      <c r="AF253" s="1339">
        <f t="shared" si="126"/>
        <v>8.0893442912706822E-5</v>
      </c>
      <c r="AG253" s="1339">
        <f t="shared" si="127"/>
        <v>1.1836466124819843E-4</v>
      </c>
      <c r="AH253" s="1280">
        <f t="shared" si="123"/>
        <v>0.3165743722859844</v>
      </c>
      <c r="AI253" s="1340">
        <f t="shared" si="124"/>
        <v>0.68342562771401549</v>
      </c>
    </row>
    <row r="254" spans="1:35" x14ac:dyDescent="0.2">
      <c r="A254" s="348">
        <v>2028</v>
      </c>
      <c r="B254" s="362">
        <v>0</v>
      </c>
      <c r="C254" s="363">
        <v>0</v>
      </c>
      <c r="D254" s="363">
        <v>0</v>
      </c>
      <c r="E254" s="363">
        <v>0</v>
      </c>
      <c r="F254" s="363">
        <v>0</v>
      </c>
      <c r="G254" s="363">
        <v>0</v>
      </c>
      <c r="H254" s="363">
        <v>1.0773008341057422E-3</v>
      </c>
      <c r="I254" s="363">
        <v>4.5712108319752708E-3</v>
      </c>
      <c r="J254" s="363">
        <v>1.555464062289175E-2</v>
      </c>
      <c r="K254" s="363">
        <v>3.8151473732686493E-2</v>
      </c>
      <c r="L254" s="398">
        <v>3.8151473732686493E-2</v>
      </c>
      <c r="M254" s="314">
        <f t="shared" si="118"/>
        <v>1.5749520046577143E-4</v>
      </c>
      <c r="N254" s="316">
        <f t="shared" si="119"/>
        <v>2.2511712322830141E-5</v>
      </c>
      <c r="O254" s="362">
        <v>0</v>
      </c>
      <c r="P254" s="363">
        <v>0</v>
      </c>
      <c r="Q254" s="363">
        <v>0</v>
      </c>
      <c r="R254" s="363">
        <v>0</v>
      </c>
      <c r="S254" s="363">
        <v>0</v>
      </c>
      <c r="T254" s="363">
        <v>6.9203450332574597E-5</v>
      </c>
      <c r="U254" s="363">
        <v>2.642436246887554E-3</v>
      </c>
      <c r="V254" s="363">
        <v>1.2439477494111636E-2</v>
      </c>
      <c r="W254" s="363">
        <v>2.8961289979432637E-2</v>
      </c>
      <c r="X254" s="363">
        <v>4.1620365046951234E-2</v>
      </c>
      <c r="Y254" s="398">
        <v>7.1062751132288993E-2</v>
      </c>
      <c r="Z254" s="314">
        <f t="shared" si="120"/>
        <v>4.7222043106201559E-4</v>
      </c>
      <c r="AA254" s="316">
        <f t="shared" si="121"/>
        <v>8.0398212434726099E-5</v>
      </c>
      <c r="AB254" s="1054">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0.20096795850789545</v>
      </c>
      <c r="AC254" s="1055">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0.23937965328740674</v>
      </c>
      <c r="AD254" s="1334">
        <f t="shared" si="122"/>
        <v>0.22977268584584626</v>
      </c>
      <c r="AE254" s="1338">
        <f t="shared" si="125"/>
        <v>1.5749520046577143E-4</v>
      </c>
      <c r="AF254" s="1339">
        <f t="shared" si="126"/>
        <v>4.7222043106201559E-4</v>
      </c>
      <c r="AG254" s="1339">
        <f t="shared" si="127"/>
        <v>6.2971563152778697E-4</v>
      </c>
      <c r="AH254" s="1280">
        <f t="shared" si="123"/>
        <v>0.25010527384188297</v>
      </c>
      <c r="AI254" s="1340">
        <f t="shared" si="124"/>
        <v>0.74989472615811714</v>
      </c>
    </row>
    <row r="255" spans="1:35" x14ac:dyDescent="0.2">
      <c r="A255" s="348">
        <v>2029</v>
      </c>
      <c r="B255" s="362">
        <v>0</v>
      </c>
      <c r="C255" s="363">
        <v>0</v>
      </c>
      <c r="D255" s="363">
        <v>0</v>
      </c>
      <c r="E255" s="363">
        <v>0</v>
      </c>
      <c r="F255" s="363">
        <v>0</v>
      </c>
      <c r="G255" s="363">
        <v>4.0409295626442094E-4</v>
      </c>
      <c r="H255" s="363">
        <v>1.6132601309637607E-2</v>
      </c>
      <c r="I255" s="363">
        <v>3.0319098148837827E-2</v>
      </c>
      <c r="J255" s="363">
        <v>5.6411536633566989E-2</v>
      </c>
      <c r="K255" s="363">
        <v>8.6731018076461011E-2</v>
      </c>
      <c r="L255" s="398">
        <v>8.6731018076461011E-2</v>
      </c>
      <c r="M255" s="314">
        <f t="shared" si="118"/>
        <v>5.6072093189851637E-4</v>
      </c>
      <c r="N255" s="316">
        <f t="shared" si="119"/>
        <v>9.2093536010158853E-5</v>
      </c>
      <c r="O255" s="362">
        <v>0</v>
      </c>
      <c r="P255" s="363">
        <v>0</v>
      </c>
      <c r="Q255" s="363">
        <v>0</v>
      </c>
      <c r="R255" s="363">
        <v>0</v>
      </c>
      <c r="S255" s="363">
        <v>1.7087451370182368E-4</v>
      </c>
      <c r="T255" s="363">
        <v>4.0688616468349953E-3</v>
      </c>
      <c r="U255" s="363">
        <v>2.2408805039300369E-2</v>
      </c>
      <c r="V255" s="363">
        <v>4.782098401741295E-2</v>
      </c>
      <c r="W255" s="363">
        <v>7.5937553103581454E-2</v>
      </c>
      <c r="X255" s="363">
        <v>9.2313600857843028E-2</v>
      </c>
      <c r="Y255" s="398">
        <v>0.12107854674972449</v>
      </c>
      <c r="Z255" s="314">
        <f t="shared" si="120"/>
        <v>1.8602131275241433E-3</v>
      </c>
      <c r="AA255" s="316">
        <f t="shared" si="121"/>
        <v>3.3892707906269486E-4</v>
      </c>
      <c r="AB255" s="1054">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0.23190809907830068</v>
      </c>
      <c r="AC255" s="1055">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0.25726286411872334</v>
      </c>
      <c r="AD255" s="1334">
        <f t="shared" si="122"/>
        <v>0.25139035907208684</v>
      </c>
      <c r="AE255" s="1338">
        <f t="shared" si="125"/>
        <v>5.6072093189851637E-4</v>
      </c>
      <c r="AF255" s="1339">
        <f t="shared" si="126"/>
        <v>1.8602131275241433E-3</v>
      </c>
      <c r="AG255" s="1339">
        <f t="shared" si="127"/>
        <v>2.4209340594226595E-3</v>
      </c>
      <c r="AH255" s="1280">
        <f t="shared" si="123"/>
        <v>0.23161346742018912</v>
      </c>
      <c r="AI255" s="1340">
        <f t="shared" si="124"/>
        <v>0.76838653257981093</v>
      </c>
    </row>
    <row r="256" spans="1:35" ht="13.5" thickBot="1" x14ac:dyDescent="0.25">
      <c r="A256" s="346">
        <v>2030</v>
      </c>
      <c r="B256" s="364">
        <v>0</v>
      </c>
      <c r="C256" s="365">
        <v>0</v>
      </c>
      <c r="D256" s="365">
        <v>0</v>
      </c>
      <c r="E256" s="365">
        <v>0</v>
      </c>
      <c r="F256" s="365">
        <v>5.3856011978239298E-4</v>
      </c>
      <c r="G256" s="365">
        <v>6.8468621068135801E-3</v>
      </c>
      <c r="H256" s="365">
        <v>4.8837916096470362E-2</v>
      </c>
      <c r="I256" s="365">
        <v>7.3081282018950172E-2</v>
      </c>
      <c r="J256" s="365">
        <v>0.1020349112269396</v>
      </c>
      <c r="K256" s="365">
        <v>0.13329977367032675</v>
      </c>
      <c r="L256" s="399">
        <v>0.13329977367032675</v>
      </c>
      <c r="M256" s="328">
        <f t="shared" si="118"/>
        <v>1.2319422752864609E-3</v>
      </c>
      <c r="N256" s="330">
        <f t="shared" si="119"/>
        <v>2.1769246422209646E-4</v>
      </c>
      <c r="O256" s="364">
        <v>0</v>
      </c>
      <c r="P256" s="365">
        <v>0</v>
      </c>
      <c r="Q256" s="365">
        <v>0</v>
      </c>
      <c r="R256" s="365">
        <v>7.667057512901277E-5</v>
      </c>
      <c r="S256" s="365">
        <v>3.9981208748214418E-3</v>
      </c>
      <c r="T256" s="365">
        <v>2.2618993738145847E-2</v>
      </c>
      <c r="U256" s="365">
        <v>6.2735762178627627E-2</v>
      </c>
      <c r="V256" s="365">
        <v>9.5920946713601324E-2</v>
      </c>
      <c r="W256" s="365">
        <v>0.12071372317551618</v>
      </c>
      <c r="X256" s="365">
        <v>0.13329977367032675</v>
      </c>
      <c r="Y256" s="399">
        <v>0.1573950735562524</v>
      </c>
      <c r="Z256" s="328">
        <f t="shared" si="120"/>
        <v>4.1334577311722305E-3</v>
      </c>
      <c r="AA256" s="330">
        <f t="shared" si="121"/>
        <v>7.9004835308251517E-4</v>
      </c>
      <c r="AB256" s="1054">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0.25056861119965324</v>
      </c>
      <c r="AC256" s="1055">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0.27102777533213757</v>
      </c>
      <c r="AD256" s="1334">
        <f t="shared" si="122"/>
        <v>0.26633017418749011</v>
      </c>
      <c r="AE256" s="1338">
        <f t="shared" si="125"/>
        <v>1.2319422752864609E-3</v>
      </c>
      <c r="AF256" s="1339">
        <f t="shared" si="126"/>
        <v>4.1334577311722305E-3</v>
      </c>
      <c r="AG256" s="1339">
        <f t="shared" si="127"/>
        <v>5.3654000064586914E-3</v>
      </c>
      <c r="AH256" s="1280">
        <f t="shared" si="123"/>
        <v>0.22960865430415056</v>
      </c>
      <c r="AI256" s="1340">
        <f t="shared" si="124"/>
        <v>0.77039134569584944</v>
      </c>
    </row>
    <row r="257" spans="1:35" x14ac:dyDescent="0.2">
      <c r="A257" s="347">
        <v>2031</v>
      </c>
      <c r="B257" s="360">
        <v>0</v>
      </c>
      <c r="C257" s="361">
        <v>0</v>
      </c>
      <c r="D257" s="361">
        <v>0</v>
      </c>
      <c r="E257" s="361">
        <v>0</v>
      </c>
      <c r="F257" s="361">
        <v>3.6542319195988723E-3</v>
      </c>
      <c r="G257" s="361">
        <v>1.8925699895527972E-2</v>
      </c>
      <c r="H257" s="361">
        <v>7.5728616481284539E-2</v>
      </c>
      <c r="I257" s="361">
        <v>9.923572256344497E-2</v>
      </c>
      <c r="J257" s="361">
        <v>0.12489796085302968</v>
      </c>
      <c r="K257" s="361">
        <v>0.15040273832381634</v>
      </c>
      <c r="L257" s="397">
        <v>0.15040273832381634</v>
      </c>
      <c r="M257" s="300">
        <f t="shared" si="118"/>
        <v>1.7647179593591967E-3</v>
      </c>
      <c r="N257" s="302">
        <f t="shared" si="119"/>
        <v>3.2867909568445549E-4</v>
      </c>
      <c r="O257" s="360">
        <v>0</v>
      </c>
      <c r="P257" s="361">
        <v>0</v>
      </c>
      <c r="Q257" s="361">
        <v>0</v>
      </c>
      <c r="R257" s="361">
        <v>9.4146274860972326E-4</v>
      </c>
      <c r="S257" s="361">
        <v>1.3437921808468223E-2</v>
      </c>
      <c r="T257" s="361">
        <v>4.6921904521973153E-2</v>
      </c>
      <c r="U257" s="361">
        <v>8.730364040519778E-2</v>
      </c>
      <c r="V257" s="361">
        <v>0.11840070244432359</v>
      </c>
      <c r="W257" s="361">
        <v>0.14412068738078937</v>
      </c>
      <c r="X257" s="361">
        <v>0.15654045889169105</v>
      </c>
      <c r="Y257" s="397">
        <v>0.17370570871134688</v>
      </c>
      <c r="Z257" s="300">
        <f t="shared" si="120"/>
        <v>5.6556410097009019E-3</v>
      </c>
      <c r="AA257" s="302">
        <f t="shared" si="121"/>
        <v>1.1252143535785738E-3</v>
      </c>
      <c r="AB257" s="1054">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0.2652010755300957</v>
      </c>
      <c r="AC257" s="1055">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0.28329044831984701</v>
      </c>
      <c r="AD257" s="1334">
        <f t="shared" si="122"/>
        <v>0.27898841371899785</v>
      </c>
      <c r="AE257" s="1338">
        <f t="shared" si="125"/>
        <v>1.7647179593591967E-3</v>
      </c>
      <c r="AF257" s="1339">
        <f t="shared" si="126"/>
        <v>5.6556410097009019E-3</v>
      </c>
      <c r="AG257" s="1339">
        <f t="shared" si="127"/>
        <v>7.4203589690600988E-3</v>
      </c>
      <c r="AH257" s="1280">
        <f t="shared" si="123"/>
        <v>0.23782110363088338</v>
      </c>
      <c r="AI257" s="1340">
        <f t="shared" si="124"/>
        <v>0.76217889636911662</v>
      </c>
    </row>
    <row r="258" spans="1:35" x14ac:dyDescent="0.2">
      <c r="A258" s="348">
        <v>2032</v>
      </c>
      <c r="B258" s="362">
        <v>0</v>
      </c>
      <c r="C258" s="363">
        <v>0</v>
      </c>
      <c r="D258" s="363">
        <v>0</v>
      </c>
      <c r="E258" s="363">
        <v>5.0555004105343681E-4</v>
      </c>
      <c r="F258" s="363">
        <v>1.2474642405807318E-2</v>
      </c>
      <c r="G258" s="363">
        <v>4.0478960349738385E-2</v>
      </c>
      <c r="H258" s="363">
        <v>0.10253114480229937</v>
      </c>
      <c r="I258" s="363">
        <v>0.12852938494416508</v>
      </c>
      <c r="J258" s="363">
        <v>0.14835635442468281</v>
      </c>
      <c r="K258" s="363">
        <v>0.17288412052641058</v>
      </c>
      <c r="L258" s="398">
        <v>0.17288412052641058</v>
      </c>
      <c r="M258" s="314">
        <f t="shared" si="118"/>
        <v>2.4636111648645631E-3</v>
      </c>
      <c r="N258" s="316">
        <f t="shared" si="119"/>
        <v>4.8965340931193401E-4</v>
      </c>
      <c r="O258" s="362">
        <v>0</v>
      </c>
      <c r="P258" s="363">
        <v>0</v>
      </c>
      <c r="Q258" s="363">
        <v>0</v>
      </c>
      <c r="R258" s="363">
        <v>4.3873508523827598E-3</v>
      </c>
      <c r="S258" s="363">
        <v>3.0292118205115674E-2</v>
      </c>
      <c r="T258" s="363">
        <v>7.3049477807811625E-2</v>
      </c>
      <c r="U258" s="363">
        <v>0.1156021149942761</v>
      </c>
      <c r="V258" s="363">
        <v>0.1418095262641568</v>
      </c>
      <c r="W258" s="363">
        <v>0.16702126077079149</v>
      </c>
      <c r="X258" s="363">
        <v>0.17288412052641058</v>
      </c>
      <c r="Y258" s="398">
        <v>0.18871446550148535</v>
      </c>
      <c r="Z258" s="314">
        <f t="shared" si="120"/>
        <v>7.5664411349041106E-3</v>
      </c>
      <c r="AA258" s="316">
        <f t="shared" si="121"/>
        <v>1.5808906432151334E-3</v>
      </c>
      <c r="AB258" s="1054">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0.28417935646425363</v>
      </c>
      <c r="AC258" s="1055">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0.29873497991675185</v>
      </c>
      <c r="AD258" s="1334">
        <f t="shared" si="122"/>
        <v>0.29515978455610892</v>
      </c>
      <c r="AE258" s="1338">
        <f t="shared" si="125"/>
        <v>2.4636111648645631E-3</v>
      </c>
      <c r="AF258" s="1339">
        <f t="shared" si="126"/>
        <v>7.5664411349041106E-3</v>
      </c>
      <c r="AG258" s="1339">
        <f t="shared" si="127"/>
        <v>1.0030052299768673E-2</v>
      </c>
      <c r="AH258" s="1280">
        <f t="shared" si="123"/>
        <v>0.24562296299505659</v>
      </c>
      <c r="AI258" s="1340">
        <f t="shared" si="124"/>
        <v>0.75437703700494352</v>
      </c>
    </row>
    <row r="259" spans="1:35" x14ac:dyDescent="0.2">
      <c r="A259" s="348">
        <v>2033</v>
      </c>
      <c r="B259" s="362">
        <v>0</v>
      </c>
      <c r="C259" s="363">
        <v>0</v>
      </c>
      <c r="D259" s="363">
        <v>0</v>
      </c>
      <c r="E259" s="363">
        <v>3.4258784791048867E-3</v>
      </c>
      <c r="F259" s="363">
        <v>2.8279228268471967E-2</v>
      </c>
      <c r="G259" s="363">
        <v>6.47571170428103E-2</v>
      </c>
      <c r="H259" s="363">
        <v>0.13230796795136532</v>
      </c>
      <c r="I259" s="363">
        <v>0.1521587431076665</v>
      </c>
      <c r="J259" s="363">
        <v>0.17135957939254901</v>
      </c>
      <c r="K259" s="363">
        <v>0.1882820751209571</v>
      </c>
      <c r="L259" s="398">
        <v>0.1882820751209571</v>
      </c>
      <c r="M259" s="314">
        <f t="shared" si="118"/>
        <v>3.4378788357423088E-3</v>
      </c>
      <c r="N259" s="316">
        <f t="shared" si="119"/>
        <v>7.4437415904038461E-4</v>
      </c>
      <c r="O259" s="362">
        <v>0</v>
      </c>
      <c r="P259" s="363">
        <v>0</v>
      </c>
      <c r="Q259" s="363">
        <v>0</v>
      </c>
      <c r="R259" s="363">
        <v>1.4475048394388793E-2</v>
      </c>
      <c r="S259" s="363">
        <v>5.5074025429059391E-2</v>
      </c>
      <c r="T259" s="363">
        <v>9.9620365919683568E-2</v>
      </c>
      <c r="U259" s="363">
        <v>0.13913153210756773</v>
      </c>
      <c r="V259" s="363">
        <v>0.16514151784870484</v>
      </c>
      <c r="W259" s="363">
        <v>0.18289108877230631</v>
      </c>
      <c r="X259" s="363">
        <v>0.1882820751209571</v>
      </c>
      <c r="Y259" s="398">
        <v>0.20217777429081721</v>
      </c>
      <c r="Z259" s="314">
        <f t="shared" si="120"/>
        <v>9.8853928993191328E-3</v>
      </c>
      <c r="AA259" s="316">
        <f t="shared" si="121"/>
        <v>2.2046767289289563E-3</v>
      </c>
      <c r="AB259" s="1054">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0.31086127584832907</v>
      </c>
      <c r="AC259" s="1055">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0.32019672537778454</v>
      </c>
      <c r="AD259" s="1334">
        <f>AB259*AH259+AC259*AI259</f>
        <v>0.31778784676315741</v>
      </c>
      <c r="AE259" s="1338">
        <f t="shared" si="125"/>
        <v>3.4378788357423088E-3</v>
      </c>
      <c r="AF259" s="1339">
        <f t="shared" si="126"/>
        <v>9.8853928993191328E-3</v>
      </c>
      <c r="AG259" s="1339">
        <f t="shared" si="127"/>
        <v>1.3323271735061442E-2</v>
      </c>
      <c r="AH259" s="1280">
        <f t="shared" si="123"/>
        <v>0.25803563149546876</v>
      </c>
      <c r="AI259" s="1340">
        <f t="shared" si="124"/>
        <v>0.74196436850453129</v>
      </c>
    </row>
    <row r="260" spans="1:35" x14ac:dyDescent="0.2">
      <c r="A260" s="348">
        <v>2034</v>
      </c>
      <c r="B260" s="362">
        <v>0</v>
      </c>
      <c r="C260" s="363">
        <v>0</v>
      </c>
      <c r="D260" s="363">
        <v>0</v>
      </c>
      <c r="E260" s="363">
        <v>1.1864409625969768E-2</v>
      </c>
      <c r="F260" s="363">
        <v>5.2075740548671166E-2</v>
      </c>
      <c r="G260" s="363">
        <v>9.6451282221055645E-2</v>
      </c>
      <c r="H260" s="363">
        <v>0.15619771113211522</v>
      </c>
      <c r="I260" s="363">
        <v>0.16895881173036248</v>
      </c>
      <c r="J260" s="363">
        <v>0.18718989734919722</v>
      </c>
      <c r="K260" s="363">
        <v>0.20235740168900809</v>
      </c>
      <c r="L260" s="398">
        <v>0.20235740168900809</v>
      </c>
      <c r="M260" s="314">
        <f t="shared" si="118"/>
        <v>4.7420061386903058E-3</v>
      </c>
      <c r="N260" s="316">
        <f t="shared" si="119"/>
        <v>1.130808855850099E-3</v>
      </c>
      <c r="O260" s="362">
        <v>0</v>
      </c>
      <c r="P260" s="363">
        <v>0</v>
      </c>
      <c r="Q260" s="363">
        <v>1.6443866357091763E-4</v>
      </c>
      <c r="R260" s="363">
        <v>3.2405173227986271E-2</v>
      </c>
      <c r="S260" s="363">
        <v>7.8239149197550442E-2</v>
      </c>
      <c r="T260" s="363">
        <v>0.12257197681200525</v>
      </c>
      <c r="U260" s="363">
        <v>0.16290770290662973</v>
      </c>
      <c r="V260" s="363">
        <v>0.18138082165535677</v>
      </c>
      <c r="W260" s="363">
        <v>0.19763458290212305</v>
      </c>
      <c r="X260" s="363">
        <v>0.20235740168900809</v>
      </c>
      <c r="Y260" s="398">
        <v>0.21044031213385755</v>
      </c>
      <c r="Z260" s="314">
        <f t="shared" si="120"/>
        <v>1.2472292503950089E-2</v>
      </c>
      <c r="AA260" s="316">
        <f t="shared" si="121"/>
        <v>2.9704659045364915E-3</v>
      </c>
      <c r="AB260" s="1054">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0.34377606886209633</v>
      </c>
      <c r="AC260" s="1055">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0.34334192381779216</v>
      </c>
      <c r="AD260" s="1334">
        <f t="shared" ref="AD260:AD276" si="128">AB260*AH260+AC260*AI260</f>
        <v>0.34346151733176039</v>
      </c>
      <c r="AE260" s="1338">
        <f t="shared" si="125"/>
        <v>4.7420061386903058E-3</v>
      </c>
      <c r="AF260" s="1339">
        <f t="shared" si="126"/>
        <v>1.2472292503950089E-2</v>
      </c>
      <c r="AG260" s="1339">
        <f t="shared" si="127"/>
        <v>1.7214298642640395E-2</v>
      </c>
      <c r="AH260" s="1280">
        <f t="shared" si="123"/>
        <v>0.27546902938840606</v>
      </c>
      <c r="AI260" s="1340">
        <f t="shared" si="124"/>
        <v>0.72453097061159388</v>
      </c>
    </row>
    <row r="261" spans="1:35" ht="13.5" thickBot="1" x14ac:dyDescent="0.25">
      <c r="A261" s="346">
        <v>2035</v>
      </c>
      <c r="B261" s="364">
        <v>0</v>
      </c>
      <c r="C261" s="365">
        <v>0</v>
      </c>
      <c r="D261" s="365">
        <v>0</v>
      </c>
      <c r="E261" s="365">
        <v>3.0493271543791726E-2</v>
      </c>
      <c r="F261" s="365">
        <v>8.6782759203056864E-2</v>
      </c>
      <c r="G261" s="365">
        <v>0.1264671153077255</v>
      </c>
      <c r="H261" s="365">
        <v>0.17950497439126806</v>
      </c>
      <c r="I261" s="365">
        <v>0.19107765269886434</v>
      </c>
      <c r="J261" s="365">
        <v>0.20168536052102054</v>
      </c>
      <c r="K261" s="365">
        <v>0.21082618335718656</v>
      </c>
      <c r="L261" s="399">
        <v>0.21082618335718656</v>
      </c>
      <c r="M261" s="328">
        <f t="shared" si="118"/>
        <v>6.7073856191160134E-3</v>
      </c>
      <c r="N261" s="330">
        <f t="shared" si="119"/>
        <v>1.7623338296903098E-3</v>
      </c>
      <c r="O261" s="364">
        <v>0</v>
      </c>
      <c r="P261" s="365">
        <v>0</v>
      </c>
      <c r="Q261" s="365">
        <v>2.1368115548490371E-3</v>
      </c>
      <c r="R261" s="365">
        <v>5.8504243790974179E-2</v>
      </c>
      <c r="S261" s="365">
        <v>0.11296299357677264</v>
      </c>
      <c r="T261" s="365">
        <v>0.15379742141929478</v>
      </c>
      <c r="U261" s="365">
        <v>0.17950497439126806</v>
      </c>
      <c r="V261" s="365">
        <v>0.19665174114820166</v>
      </c>
      <c r="W261" s="365">
        <v>0.20647994189836247</v>
      </c>
      <c r="X261" s="365">
        <v>0.21082618335718656</v>
      </c>
      <c r="Y261" s="399">
        <v>0.21800747254608505</v>
      </c>
      <c r="Z261" s="328">
        <f t="shared" si="120"/>
        <v>1.5785286170333888E-2</v>
      </c>
      <c r="AA261" s="330">
        <f t="shared" si="121"/>
        <v>4.0489572893772008E-3</v>
      </c>
      <c r="AB261" s="1054">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0.38032845200883464</v>
      </c>
      <c r="AC261" s="1055">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0.37129119409526967</v>
      </c>
      <c r="AD261" s="1334">
        <f t="shared" si="128"/>
        <v>0.37398613288836235</v>
      </c>
      <c r="AE261" s="1338">
        <f t="shared" si="125"/>
        <v>6.7073856191160134E-3</v>
      </c>
      <c r="AF261" s="1339">
        <f t="shared" si="126"/>
        <v>1.5785286170333888E-2</v>
      </c>
      <c r="AG261" s="1339">
        <f t="shared" si="127"/>
        <v>2.24926717894499E-2</v>
      </c>
      <c r="AH261" s="1280">
        <f t="shared" si="123"/>
        <v>0.29820315175994727</v>
      </c>
      <c r="AI261" s="1340">
        <f t="shared" si="124"/>
        <v>0.70179684824005284</v>
      </c>
    </row>
    <row r="262" spans="1:35" x14ac:dyDescent="0.2">
      <c r="A262" s="347">
        <v>2036</v>
      </c>
      <c r="B262" s="360">
        <v>0</v>
      </c>
      <c r="C262" s="361">
        <v>0</v>
      </c>
      <c r="D262" s="361">
        <v>1.4363731283428444E-4</v>
      </c>
      <c r="E262" s="361">
        <v>4.1726157099326505E-2</v>
      </c>
      <c r="F262" s="361">
        <v>9.3389838398593966E-2</v>
      </c>
      <c r="G262" s="361">
        <v>0.13369177281516675</v>
      </c>
      <c r="H262" s="361">
        <v>0.17957229572402847</v>
      </c>
      <c r="I262" s="361">
        <v>0.19114878799244142</v>
      </c>
      <c r="J262" s="361">
        <v>0.20193186859373699</v>
      </c>
      <c r="K262" s="361">
        <v>0.21476095248646659</v>
      </c>
      <c r="L262" s="397">
        <v>0.21476095248646659</v>
      </c>
      <c r="M262" s="300">
        <f t="shared" si="118"/>
        <v>7.3876487464327014E-3</v>
      </c>
      <c r="N262" s="302">
        <f t="shared" si="119"/>
        <v>2.0126439529062059E-3</v>
      </c>
      <c r="O262" s="360">
        <v>0</v>
      </c>
      <c r="P262" s="361">
        <v>0</v>
      </c>
      <c r="Q262" s="361">
        <v>3.9409970967961032E-3</v>
      </c>
      <c r="R262" s="361">
        <v>7.0509269705620659E-2</v>
      </c>
      <c r="S262" s="361">
        <v>0.1200579577554937</v>
      </c>
      <c r="T262" s="361">
        <v>0.16122660256021321</v>
      </c>
      <c r="U262" s="361">
        <v>0.18577753302389613</v>
      </c>
      <c r="V262" s="361">
        <v>0.20193186859373699</v>
      </c>
      <c r="W262" s="361">
        <v>0.21090311061486366</v>
      </c>
      <c r="X262" s="361">
        <v>0.21476095248646659</v>
      </c>
      <c r="Y262" s="397">
        <v>0.2208328788504404</v>
      </c>
      <c r="Z262" s="300">
        <f t="shared" si="120"/>
        <v>1.7103973650352666E-2</v>
      </c>
      <c r="AA262" s="302">
        <f t="shared" si="121"/>
        <v>4.5113428430469263E-3</v>
      </c>
      <c r="AB262" s="1054">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0.39509208657719341</v>
      </c>
      <c r="AC262" s="1055">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0.38251320362152486</v>
      </c>
      <c r="AD262" s="1334">
        <f t="shared" si="128"/>
        <v>0.38630749570203504</v>
      </c>
      <c r="AE262" s="1338">
        <f t="shared" si="125"/>
        <v>7.3876487464327014E-3</v>
      </c>
      <c r="AF262" s="1339">
        <f t="shared" si="126"/>
        <v>1.7103973650352666E-2</v>
      </c>
      <c r="AG262" s="1339">
        <f t="shared" si="127"/>
        <v>2.4491622396785366E-2</v>
      </c>
      <c r="AH262" s="1280">
        <f t="shared" si="123"/>
        <v>0.30163982715176774</v>
      </c>
      <c r="AI262" s="1340">
        <f t="shared" si="124"/>
        <v>0.69836017284823226</v>
      </c>
    </row>
    <row r="263" spans="1:35" x14ac:dyDescent="0.2">
      <c r="A263" s="348">
        <v>2037</v>
      </c>
      <c r="B263" s="362">
        <v>0</v>
      </c>
      <c r="C263" s="363">
        <v>0</v>
      </c>
      <c r="D263" s="363">
        <v>2.0773765772283252E-4</v>
      </c>
      <c r="E263" s="363">
        <v>4.1719151369383985E-2</v>
      </c>
      <c r="F263" s="363">
        <v>0.10001914099183588</v>
      </c>
      <c r="G263" s="363">
        <v>0.13367160562506608</v>
      </c>
      <c r="H263" s="363">
        <v>0.17954674124671297</v>
      </c>
      <c r="I263" s="363">
        <v>0.19112200076849806</v>
      </c>
      <c r="J263" s="363">
        <v>0.20670244944172594</v>
      </c>
      <c r="K263" s="363">
        <v>0.21473180925475699</v>
      </c>
      <c r="L263" s="398">
        <v>0.21473180925475699</v>
      </c>
      <c r="M263" s="314">
        <f t="shared" si="118"/>
        <v>7.5318663500505536E-3</v>
      </c>
      <c r="N263" s="316">
        <f t="shared" si="119"/>
        <v>2.0592052039392593E-3</v>
      </c>
      <c r="O263" s="362">
        <v>0</v>
      </c>
      <c r="P263" s="363">
        <v>0</v>
      </c>
      <c r="Q263" s="363">
        <v>4.5498611439187403E-3</v>
      </c>
      <c r="R263" s="363">
        <v>7.0448892606357144E-2</v>
      </c>
      <c r="S263" s="363">
        <v>0.12003956075139104</v>
      </c>
      <c r="T263" s="363">
        <v>0.1612031028748887</v>
      </c>
      <c r="U263" s="363">
        <v>0.18575131216979249</v>
      </c>
      <c r="V263" s="363">
        <v>0.20190397944261212</v>
      </c>
      <c r="W263" s="363">
        <v>0.2108743379942728</v>
      </c>
      <c r="X263" s="363">
        <v>0.21473180925475699</v>
      </c>
      <c r="Y263" s="398">
        <v>0.22080316363822053</v>
      </c>
      <c r="Z263" s="314">
        <f t="shared" si="120"/>
        <v>1.7149619290730837E-2</v>
      </c>
      <c r="AA263" s="316">
        <f t="shared" si="121"/>
        <v>4.5379330775485146E-3</v>
      </c>
      <c r="AB263" s="1054">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0.39723437227911057</v>
      </c>
      <c r="AC263" s="1055">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0.38446198321751152</v>
      </c>
      <c r="AD263" s="1334">
        <f t="shared" si="128"/>
        <v>0.38835963868213474</v>
      </c>
      <c r="AE263" s="1338">
        <f t="shared" si="125"/>
        <v>7.5318663500505536E-3</v>
      </c>
      <c r="AF263" s="1339">
        <f t="shared" si="126"/>
        <v>1.7149619290730837E-2</v>
      </c>
      <c r="AG263" s="1339">
        <f t="shared" si="127"/>
        <v>2.4681485640781389E-2</v>
      </c>
      <c r="AH263" s="1280">
        <f t="shared" si="123"/>
        <v>0.30516260081222985</v>
      </c>
      <c r="AI263" s="1340">
        <f t="shared" si="124"/>
        <v>0.69483739918777021</v>
      </c>
    </row>
    <row r="264" spans="1:35" x14ac:dyDescent="0.2">
      <c r="A264" s="348">
        <v>2038</v>
      </c>
      <c r="B264" s="362">
        <v>0</v>
      </c>
      <c r="C264" s="363">
        <v>0</v>
      </c>
      <c r="D264" s="363">
        <v>7.0944597751690212E-4</v>
      </c>
      <c r="E264" s="363">
        <v>5.4561262098773489E-2</v>
      </c>
      <c r="F264" s="363">
        <v>0.10682335477344843</v>
      </c>
      <c r="G264" s="363">
        <v>0.14084830812983098</v>
      </c>
      <c r="H264" s="363">
        <v>0.18572383662978642</v>
      </c>
      <c r="I264" s="363">
        <v>0.19666842826789144</v>
      </c>
      <c r="J264" s="363">
        <v>0.20667268792847224</v>
      </c>
      <c r="K264" s="363">
        <v>0.21470121586734903</v>
      </c>
      <c r="L264" s="398">
        <v>0.21470121586734903</v>
      </c>
      <c r="M264" s="314">
        <f t="shared" si="118"/>
        <v>8.3968132761217795E-3</v>
      </c>
      <c r="N264" s="316">
        <f t="shared" si="119"/>
        <v>2.373399659430982E-3</v>
      </c>
      <c r="O264" s="362">
        <v>0</v>
      </c>
      <c r="P264" s="363">
        <v>0</v>
      </c>
      <c r="Q264" s="363">
        <v>8.899325142488165E-3</v>
      </c>
      <c r="R264" s="363">
        <v>8.1972134857219714E-2</v>
      </c>
      <c r="S264" s="363">
        <v>0.13435843902023686</v>
      </c>
      <c r="T264" s="363">
        <v>0.16805965090047623</v>
      </c>
      <c r="U264" s="363">
        <v>0.19163907220768497</v>
      </c>
      <c r="V264" s="363">
        <v>0.20187472664535613</v>
      </c>
      <c r="W264" s="363">
        <v>0.21084414123024053</v>
      </c>
      <c r="X264" s="363">
        <v>0.21470121586734903</v>
      </c>
      <c r="Y264" s="398">
        <v>0.22077195733286606</v>
      </c>
      <c r="Z264" s="314">
        <f t="shared" si="120"/>
        <v>1.8629713190871849E-2</v>
      </c>
      <c r="AA264" s="316">
        <f t="shared" si="121"/>
        <v>5.1189933561031032E-3</v>
      </c>
      <c r="AB264" s="1054">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0.41144978924047687</v>
      </c>
      <c r="AC264" s="1055">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0.39998053888824792</v>
      </c>
      <c r="AD264" s="1334">
        <f t="shared" si="128"/>
        <v>0.40354389556829984</v>
      </c>
      <c r="AE264" s="1338">
        <f t="shared" si="125"/>
        <v>8.3968132761217795E-3</v>
      </c>
      <c r="AF264" s="1339">
        <f t="shared" si="126"/>
        <v>1.8629713190871849E-2</v>
      </c>
      <c r="AG264" s="1339">
        <f t="shared" si="127"/>
        <v>2.7026526466993626E-2</v>
      </c>
      <c r="AH264" s="1280">
        <f t="shared" si="123"/>
        <v>0.31068784537948146</v>
      </c>
      <c r="AI264" s="1340">
        <f t="shared" si="124"/>
        <v>0.68931215462051865</v>
      </c>
    </row>
    <row r="265" spans="1:35" x14ac:dyDescent="0.2">
      <c r="A265" s="348">
        <v>2039</v>
      </c>
      <c r="B265" s="362">
        <v>0</v>
      </c>
      <c r="C265" s="363">
        <v>0</v>
      </c>
      <c r="D265" s="363">
        <v>2.550320788413218E-3</v>
      </c>
      <c r="E265" s="363">
        <v>6.4681790336720155E-2</v>
      </c>
      <c r="F265" s="363">
        <v>0.1200008533873895</v>
      </c>
      <c r="G265" s="363">
        <v>0.14800953890358506</v>
      </c>
      <c r="H265" s="363">
        <v>0.19161046883739247</v>
      </c>
      <c r="I265" s="363">
        <v>0.19663925893573431</v>
      </c>
      <c r="J265" s="363">
        <v>0.20664242356475521</v>
      </c>
      <c r="K265" s="363">
        <v>0.21467009995236139</v>
      </c>
      <c r="L265" s="398">
        <v>0.21467009995236139</v>
      </c>
      <c r="M265" s="314">
        <f t="shared" si="118"/>
        <v>9.3871793517912635E-3</v>
      </c>
      <c r="N265" s="316">
        <f t="shared" si="119"/>
        <v>2.7490398436463021E-3</v>
      </c>
      <c r="O265" s="362">
        <v>0</v>
      </c>
      <c r="P265" s="363">
        <v>0</v>
      </c>
      <c r="Q265" s="363">
        <v>1.4762180869676143E-2</v>
      </c>
      <c r="R265" s="363">
        <v>9.3025731921647939E-2</v>
      </c>
      <c r="S265" s="363">
        <v>0.14155582918511392</v>
      </c>
      <c r="T265" s="363">
        <v>0.17474464852400523</v>
      </c>
      <c r="U265" s="363">
        <v>0.19161046883739247</v>
      </c>
      <c r="V265" s="363">
        <v>0.20664242356475521</v>
      </c>
      <c r="W265" s="363">
        <v>0.21467009995236139</v>
      </c>
      <c r="X265" s="363">
        <v>0.21799449649460217</v>
      </c>
      <c r="Y265" s="398">
        <v>0.22074021361538529</v>
      </c>
      <c r="Z265" s="314">
        <f t="shared" si="120"/>
        <v>2.008018416096867E-2</v>
      </c>
      <c r="AA265" s="316">
        <f t="shared" si="121"/>
        <v>5.7174102010365867E-3</v>
      </c>
      <c r="AB265" s="1054">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0.42708619959271038</v>
      </c>
      <c r="AC265" s="1055">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0.41524200578104553</v>
      </c>
      <c r="AD265" s="1334">
        <f t="shared" si="128"/>
        <v>0.41901511468301195</v>
      </c>
      <c r="AE265" s="1338">
        <f t="shared" si="125"/>
        <v>9.3871793517912635E-3</v>
      </c>
      <c r="AF265" s="1339">
        <f t="shared" si="126"/>
        <v>2.008018416096867E-2</v>
      </c>
      <c r="AG265" s="1339">
        <f t="shared" si="127"/>
        <v>2.9467363512759935E-2</v>
      </c>
      <c r="AH265" s="1280">
        <f t="shared" si="123"/>
        <v>0.31856190146520691</v>
      </c>
      <c r="AI265" s="1340">
        <f t="shared" si="124"/>
        <v>0.68143809853479309</v>
      </c>
    </row>
    <row r="266" spans="1:35" ht="13.5" thickBot="1" x14ac:dyDescent="0.25">
      <c r="A266" s="346">
        <v>2040</v>
      </c>
      <c r="B266" s="364">
        <v>0</v>
      </c>
      <c r="C266" s="365">
        <v>0</v>
      </c>
      <c r="D266" s="365">
        <v>7.9811144859475592E-3</v>
      </c>
      <c r="E266" s="365">
        <v>8.1240248136591503E-2</v>
      </c>
      <c r="F266" s="365">
        <v>0.12711957494076481</v>
      </c>
      <c r="G266" s="365">
        <v>0.16215784684804743</v>
      </c>
      <c r="H266" s="365">
        <v>0.19158165757351181</v>
      </c>
      <c r="I266" s="365">
        <v>0.20181502021402573</v>
      </c>
      <c r="J266" s="365">
        <v>0.21078249352037887</v>
      </c>
      <c r="K266" s="365">
        <v>0.21796279950467101</v>
      </c>
      <c r="L266" s="399">
        <v>0.21796279950467101</v>
      </c>
      <c r="M266" s="328">
        <f t="shared" si="118"/>
        <v>1.0790037187095711E-2</v>
      </c>
      <c r="N266" s="330">
        <f t="shared" si="119"/>
        <v>3.3649767664258434E-3</v>
      </c>
      <c r="O266" s="364">
        <v>0</v>
      </c>
      <c r="P266" s="365">
        <v>0</v>
      </c>
      <c r="Q266" s="365">
        <v>2.5888786522971038E-2</v>
      </c>
      <c r="R266" s="365">
        <v>0.1039696262085319</v>
      </c>
      <c r="S266" s="365">
        <v>0.14873625965918852</v>
      </c>
      <c r="T266" s="365">
        <v>0.1812177110747353</v>
      </c>
      <c r="U266" s="365">
        <v>0.19716664689103813</v>
      </c>
      <c r="V266" s="365">
        <v>0.20661193552862772</v>
      </c>
      <c r="W266" s="365">
        <v>0.21463875197353788</v>
      </c>
      <c r="X266" s="365">
        <v>0.21796279950467101</v>
      </c>
      <c r="Y266" s="399">
        <v>0.22070823150503452</v>
      </c>
      <c r="Z266" s="328">
        <f t="shared" si="120"/>
        <v>2.1965816953130768E-2</v>
      </c>
      <c r="AA266" s="330">
        <f t="shared" si="121"/>
        <v>6.5621862865851161E-3</v>
      </c>
      <c r="AB266" s="1054">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0.45565527106476755</v>
      </c>
      <c r="AC266" s="1055">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0.43649418744078605</v>
      </c>
      <c r="AD266" s="1334">
        <f t="shared" si="128"/>
        <v>0.44280599979538771</v>
      </c>
      <c r="AE266" s="1338">
        <f t="shared" si="125"/>
        <v>1.0790037187095711E-2</v>
      </c>
      <c r="AF266" s="1339">
        <f t="shared" si="126"/>
        <v>2.1965816953130768E-2</v>
      </c>
      <c r="AG266" s="1339">
        <f t="shared" si="127"/>
        <v>3.2755854140226477E-2</v>
      </c>
      <c r="AH266" s="1280">
        <f t="shared" si="123"/>
        <v>0.32940790189454383</v>
      </c>
      <c r="AI266" s="1340">
        <f t="shared" si="124"/>
        <v>0.67059209810545617</v>
      </c>
    </row>
    <row r="267" spans="1:35" x14ac:dyDescent="0.2">
      <c r="A267" s="347">
        <v>2041</v>
      </c>
      <c r="B267" s="360">
        <v>0</v>
      </c>
      <c r="C267" s="361">
        <v>0</v>
      </c>
      <c r="D267" s="361">
        <v>2.1480598812338794E-2</v>
      </c>
      <c r="E267" s="361">
        <v>9.8029140451487209E-2</v>
      </c>
      <c r="F267" s="361">
        <v>0.14151061911015034</v>
      </c>
      <c r="G267" s="361">
        <v>0.16904148034279062</v>
      </c>
      <c r="H267" s="361">
        <v>0.19713712216427348</v>
      </c>
      <c r="I267" s="361">
        <v>0.20658136268914332</v>
      </c>
      <c r="J267" s="361">
        <v>0.21075146917119078</v>
      </c>
      <c r="K267" s="361">
        <v>0.21793101316237928</v>
      </c>
      <c r="L267" s="397">
        <v>0.21793101316237928</v>
      </c>
      <c r="M267" s="300">
        <f t="shared" si="118"/>
        <v>1.3141264602378015E-2</v>
      </c>
      <c r="N267" s="302">
        <f t="shared" si="119"/>
        <v>4.4569648504927334E-3</v>
      </c>
      <c r="O267" s="360">
        <v>0</v>
      </c>
      <c r="P267" s="361">
        <v>4.7408190563585136E-4</v>
      </c>
      <c r="Q267" s="361">
        <v>4.7973829862828596E-2</v>
      </c>
      <c r="R267" s="361">
        <v>0.11368484982112931</v>
      </c>
      <c r="S267" s="361">
        <v>0.16291802853688697</v>
      </c>
      <c r="T267" s="361">
        <v>0.18743830766514241</v>
      </c>
      <c r="U267" s="361">
        <v>0.20235243804168987</v>
      </c>
      <c r="V267" s="361">
        <v>0.21092921920092519</v>
      </c>
      <c r="W267" s="361">
        <v>0.2146073159729163</v>
      </c>
      <c r="X267" s="361">
        <v>0.21793101316237928</v>
      </c>
      <c r="Y267" s="397">
        <v>0.22278893764444599</v>
      </c>
      <c r="Z267" s="300">
        <f t="shared" si="120"/>
        <v>2.5022298054537075E-2</v>
      </c>
      <c r="AA267" s="302">
        <f t="shared" si="121"/>
        <v>8.0606194737211506E-3</v>
      </c>
      <c r="AB267" s="1054">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0.49646138043567783</v>
      </c>
      <c r="AC267" s="1055">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0.46955697637766441</v>
      </c>
      <c r="AD267" s="1334">
        <f t="shared" si="128"/>
        <v>0.47882125539359599</v>
      </c>
      <c r="AE267" s="1338">
        <f t="shared" si="125"/>
        <v>1.3141264602378015E-2</v>
      </c>
      <c r="AF267" s="1339">
        <f t="shared" si="126"/>
        <v>2.5022298054537075E-2</v>
      </c>
      <c r="AG267" s="1339">
        <f t="shared" si="127"/>
        <v>3.816356265691509E-2</v>
      </c>
      <c r="AH267" s="1280">
        <f t="shared" si="123"/>
        <v>0.34434061412232614</v>
      </c>
      <c r="AI267" s="1340">
        <f t="shared" si="124"/>
        <v>0.65565938587767381</v>
      </c>
    </row>
    <row r="268" spans="1:35" x14ac:dyDescent="0.2">
      <c r="A268" s="348">
        <v>2042</v>
      </c>
      <c r="B268" s="362">
        <v>0</v>
      </c>
      <c r="C268" s="363">
        <v>9.5598959178944977E-4</v>
      </c>
      <c r="D268" s="363">
        <v>4.944062958549094E-2</v>
      </c>
      <c r="E268" s="363">
        <v>0.11318365137739048</v>
      </c>
      <c r="F268" s="363">
        <v>0.15583705142012944</v>
      </c>
      <c r="G268" s="363">
        <v>0.18227721612142778</v>
      </c>
      <c r="H268" s="363">
        <v>0.20232229059531415</v>
      </c>
      <c r="I268" s="363">
        <v>0.20655074846450722</v>
      </c>
      <c r="J268" s="363">
        <v>0.21457583705508146</v>
      </c>
      <c r="K268" s="363">
        <v>0.22064404231315041</v>
      </c>
      <c r="L268" s="398">
        <v>0.22064404231315041</v>
      </c>
      <c r="M268" s="314">
        <f t="shared" si="118"/>
        <v>1.6856114612744992E-2</v>
      </c>
      <c r="N268" s="316">
        <f t="shared" si="119"/>
        <v>6.3915376449232399E-3</v>
      </c>
      <c r="O268" s="362">
        <v>0</v>
      </c>
      <c r="P268" s="363">
        <v>4.489069513411866E-3</v>
      </c>
      <c r="Q268" s="363">
        <v>7.1854632724523679E-2</v>
      </c>
      <c r="R268" s="363">
        <v>0.12894468123502245</v>
      </c>
      <c r="S268" s="363">
        <v>0.16981567405702508</v>
      </c>
      <c r="T268" s="363">
        <v>0.19336592668173067</v>
      </c>
      <c r="U268" s="363">
        <v>0.2071278790950502</v>
      </c>
      <c r="V268" s="363">
        <v>0.21089813353582068</v>
      </c>
      <c r="W268" s="363">
        <v>0.2178991832706634</v>
      </c>
      <c r="X268" s="363">
        <v>0.22064404231315041</v>
      </c>
      <c r="Y268" s="398">
        <v>0.2227566022615079</v>
      </c>
      <c r="Z268" s="314">
        <f t="shared" si="120"/>
        <v>2.9303140152423562E-2</v>
      </c>
      <c r="AA268" s="316">
        <f t="shared" si="121"/>
        <v>1.0621338026301622E-2</v>
      </c>
      <c r="AB268" s="1054">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0.55284605641767648</v>
      </c>
      <c r="AC268" s="1055">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0.51536683686135731</v>
      </c>
      <c r="AD268" s="1334">
        <f t="shared" si="128"/>
        <v>0.52905323677512428</v>
      </c>
      <c r="AE268" s="1338">
        <f t="shared" si="125"/>
        <v>1.6856114612744992E-2</v>
      </c>
      <c r="AF268" s="1339">
        <f t="shared" si="126"/>
        <v>2.9303140152423562E-2</v>
      </c>
      <c r="AG268" s="1339">
        <f t="shared" si="127"/>
        <v>4.615925476516855E-2</v>
      </c>
      <c r="AH268" s="1280">
        <f t="shared" si="123"/>
        <v>0.36517302323226625</v>
      </c>
      <c r="AI268" s="1340">
        <f t="shared" si="124"/>
        <v>0.63482697676773381</v>
      </c>
    </row>
    <row r="269" spans="1:35" x14ac:dyDescent="0.2">
      <c r="A269" s="348">
        <v>2043</v>
      </c>
      <c r="B269" s="362">
        <v>0</v>
      </c>
      <c r="C269" s="363">
        <v>8.1194395904267882E-3</v>
      </c>
      <c r="D269" s="363">
        <v>7.9290298896103964E-2</v>
      </c>
      <c r="E269" s="363">
        <v>0.12714381343592679</v>
      </c>
      <c r="F269" s="363">
        <v>0.16978938831722529</v>
      </c>
      <c r="G269" s="363">
        <v>0.18852091312524927</v>
      </c>
      <c r="H269" s="363">
        <v>0.2070971987984791</v>
      </c>
      <c r="I269" s="363">
        <v>0.21086704318204291</v>
      </c>
      <c r="J269" s="363">
        <v>0.21454435330019497</v>
      </c>
      <c r="K269" s="363">
        <v>0.22061192059597845</v>
      </c>
      <c r="L269" s="398">
        <v>0.22061192059597845</v>
      </c>
      <c r="M269" s="314">
        <f t="shared" si="118"/>
        <v>2.1591838271486186E-2</v>
      </c>
      <c r="N269" s="316">
        <f t="shared" si="119"/>
        <v>9.2736676222779854E-3</v>
      </c>
      <c r="O269" s="362">
        <v>0</v>
      </c>
      <c r="P269" s="363">
        <v>1.7141925918132878E-2</v>
      </c>
      <c r="Q269" s="363">
        <v>9.899136852814247E-2</v>
      </c>
      <c r="R269" s="363">
        <v>0.13695158051974737</v>
      </c>
      <c r="S269" s="363">
        <v>0.1830742563823235</v>
      </c>
      <c r="T269" s="363">
        <v>0.19896023220863407</v>
      </c>
      <c r="U269" s="363">
        <v>0.2070971987984791</v>
      </c>
      <c r="V269" s="363">
        <v>0.21472442412936305</v>
      </c>
      <c r="W269" s="363">
        <v>0.2178673484062105</v>
      </c>
      <c r="X269" s="363">
        <v>0.22061192059597845</v>
      </c>
      <c r="Y269" s="398">
        <v>0.22272426170480916</v>
      </c>
      <c r="Z269" s="314">
        <f t="shared" si="120"/>
        <v>3.5825901306463986E-2</v>
      </c>
      <c r="AA269" s="316">
        <f t="shared" si="121"/>
        <v>1.5404108618560475E-2</v>
      </c>
      <c r="AB269" s="1054">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0.60945895286646612</v>
      </c>
      <c r="AC269" s="1055">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0.58081602966502555</v>
      </c>
      <c r="AD269" s="1334">
        <f t="shared" si="128"/>
        <v>0.59158714970447779</v>
      </c>
      <c r="AE269" s="1338">
        <f t="shared" si="125"/>
        <v>2.1591838271486186E-2</v>
      </c>
      <c r="AF269" s="1339">
        <f t="shared" si="126"/>
        <v>3.5825901306463986E-2</v>
      </c>
      <c r="AG269" s="1339">
        <f t="shared" si="127"/>
        <v>5.7417739577950169E-2</v>
      </c>
      <c r="AH269" s="1280">
        <f t="shared" si="123"/>
        <v>0.3760482114098756</v>
      </c>
      <c r="AI269" s="1340">
        <f t="shared" si="124"/>
        <v>0.62395178859012446</v>
      </c>
    </row>
    <row r="270" spans="1:35" x14ac:dyDescent="0.2">
      <c r="A270" s="348">
        <v>2044</v>
      </c>
      <c r="B270" s="362">
        <v>0</v>
      </c>
      <c r="C270" s="363">
        <v>2.4811777842986289E-2</v>
      </c>
      <c r="D270" s="363">
        <v>9.848947185795677E-2</v>
      </c>
      <c r="E270" s="363">
        <v>0.13592184994143394</v>
      </c>
      <c r="F270" s="363">
        <v>0.18304634148711177</v>
      </c>
      <c r="G270" s="363">
        <v>0.19446972535510573</v>
      </c>
      <c r="H270" s="363">
        <v>0.21142158777119327</v>
      </c>
      <c r="I270" s="363">
        <v>0.21469287952443686</v>
      </c>
      <c r="J270" s="363">
        <v>0.21783547133282316</v>
      </c>
      <c r="K270" s="363">
        <v>0.22057975624327747</v>
      </c>
      <c r="L270" s="398">
        <v>0.22057975624327747</v>
      </c>
      <c r="M270" s="314">
        <f t="shared" si="118"/>
        <v>2.6557207497488897E-2</v>
      </c>
      <c r="N270" s="316">
        <f t="shared" si="119"/>
        <v>1.2866038508867063E-2</v>
      </c>
      <c r="O270" s="362">
        <v>0</v>
      </c>
      <c r="P270" s="363">
        <v>3.7498506700414103E-2</v>
      </c>
      <c r="Q270" s="363">
        <v>0.12164974571671967</v>
      </c>
      <c r="R270" s="363">
        <v>0.14612755253277951</v>
      </c>
      <c r="S270" s="363">
        <v>0.18932679475746139</v>
      </c>
      <c r="T270" s="363">
        <v>0.20418099584672794</v>
      </c>
      <c r="U270" s="363">
        <v>0.21142158777119327</v>
      </c>
      <c r="V270" s="363">
        <v>0.21801753078185498</v>
      </c>
      <c r="W270" s="363">
        <v>0.22057975624327747</v>
      </c>
      <c r="X270" s="363">
        <v>0.22057975624327747</v>
      </c>
      <c r="Y270" s="398">
        <v>0.22410065657561803</v>
      </c>
      <c r="Z270" s="314">
        <f t="shared" si="120"/>
        <v>4.4092329030947272E-2</v>
      </c>
      <c r="AA270" s="316">
        <f t="shared" si="121"/>
        <v>2.1959749380047161E-2</v>
      </c>
      <c r="AB270" s="1054">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0.65914459064392539</v>
      </c>
      <c r="AC270" s="1055">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0.64200561386929822</v>
      </c>
      <c r="AD270" s="1334">
        <f t="shared" si="128"/>
        <v>0.64844816657189397</v>
      </c>
      <c r="AE270" s="1338">
        <f t="shared" si="125"/>
        <v>2.6557207497488897E-2</v>
      </c>
      <c r="AF270" s="1339">
        <f t="shared" si="126"/>
        <v>4.4092329030947272E-2</v>
      </c>
      <c r="AG270" s="1339">
        <f t="shared" si="127"/>
        <v>7.0649536528436169E-2</v>
      </c>
      <c r="AH270" s="1280">
        <f t="shared" si="123"/>
        <v>0.37590066124212607</v>
      </c>
      <c r="AI270" s="1340">
        <f t="shared" si="124"/>
        <v>0.62409933875787393</v>
      </c>
    </row>
    <row r="271" spans="1:35" ht="13.5" thickBot="1" x14ac:dyDescent="0.25">
      <c r="A271" s="346">
        <v>2045</v>
      </c>
      <c r="B271" s="364">
        <v>0</v>
      </c>
      <c r="C271" s="365">
        <v>4.5119670509870757E-2</v>
      </c>
      <c r="D271" s="365">
        <v>0.11632323938872012</v>
      </c>
      <c r="E271" s="365">
        <v>0.14502870232083245</v>
      </c>
      <c r="F271" s="365">
        <v>0.18929813319705666</v>
      </c>
      <c r="G271" s="365">
        <v>0.20008328559274327</v>
      </c>
      <c r="H271" s="365">
        <v>0.21139037700520616</v>
      </c>
      <c r="I271" s="365">
        <v>0.21466131694236021</v>
      </c>
      <c r="J271" s="365">
        <v>0.21780357604959372</v>
      </c>
      <c r="K271" s="365">
        <v>0.22265947610050382</v>
      </c>
      <c r="L271" s="399">
        <v>0.22265947610050382</v>
      </c>
      <c r="M271" s="328">
        <f t="shared" si="118"/>
        <v>3.1756146262106648E-2</v>
      </c>
      <c r="N271" s="330">
        <f t="shared" si="119"/>
        <v>1.6848374257796034E-2</v>
      </c>
      <c r="O271" s="364">
        <v>0</v>
      </c>
      <c r="P271" s="365">
        <v>6.3305180229856844E-2</v>
      </c>
      <c r="Q271" s="365">
        <v>0.1307387710788577</v>
      </c>
      <c r="R271" s="365">
        <v>0.15456541986389705</v>
      </c>
      <c r="S271" s="365">
        <v>0.19528291730804184</v>
      </c>
      <c r="T271" s="365">
        <v>0.20898810743263632</v>
      </c>
      <c r="U271" s="365">
        <v>0.21525450394197179</v>
      </c>
      <c r="V271" s="365">
        <v>0.21798561633861338</v>
      </c>
      <c r="W271" s="365">
        <v>0.22054757347850831</v>
      </c>
      <c r="X271" s="365">
        <v>0.22265947610050382</v>
      </c>
      <c r="Y271" s="399">
        <v>0.22406810914049291</v>
      </c>
      <c r="Z271" s="328">
        <f t="shared" si="120"/>
        <v>5.2548936323290371E-2</v>
      </c>
      <c r="AA271" s="330">
        <f t="shared" si="121"/>
        <v>2.9243713400607042E-2</v>
      </c>
      <c r="AB271" s="1054">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0.69977840881770126</v>
      </c>
      <c r="AC271" s="1055">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0.69079626289797302</v>
      </c>
      <c r="AD271" s="1334">
        <f t="shared" si="128"/>
        <v>0.69417966910347129</v>
      </c>
      <c r="AE271" s="1338">
        <f t="shared" si="125"/>
        <v>3.1756146262106648E-2</v>
      </c>
      <c r="AF271" s="1339">
        <f t="shared" si="126"/>
        <v>5.2548936323290371E-2</v>
      </c>
      <c r="AG271" s="1339">
        <f t="shared" si="127"/>
        <v>8.4305082585397012E-2</v>
      </c>
      <c r="AH271" s="1280">
        <f t="shared" si="123"/>
        <v>0.37668127814167301</v>
      </c>
      <c r="AI271" s="1340">
        <f t="shared" si="124"/>
        <v>0.62331872185832704</v>
      </c>
    </row>
    <row r="272" spans="1:35" x14ac:dyDescent="0.2">
      <c r="A272" s="347">
        <v>2046</v>
      </c>
      <c r="B272" s="360">
        <v>0</v>
      </c>
      <c r="C272" s="361">
        <v>5.7943389588463255E-2</v>
      </c>
      <c r="D272" s="361">
        <v>0.12463627664229018</v>
      </c>
      <c r="E272" s="361">
        <v>0.14976363332564355</v>
      </c>
      <c r="F272" s="361">
        <v>0.19525355726571614</v>
      </c>
      <c r="G272" s="361">
        <v>0.20532139672853672</v>
      </c>
      <c r="H272" s="361">
        <v>0.21522286266493729</v>
      </c>
      <c r="I272" s="361">
        <v>0.21795368451751493</v>
      </c>
      <c r="J272" s="361">
        <v>0.22051537315696387</v>
      </c>
      <c r="K272" s="361">
        <v>0.22262705631114368</v>
      </c>
      <c r="L272" s="397">
        <v>0.22262705631114368</v>
      </c>
      <c r="M272" s="300">
        <f t="shared" si="118"/>
        <v>3.4825570491763956E-2</v>
      </c>
      <c r="N272" s="302">
        <f t="shared" si="119"/>
        <v>1.9219632087158885E-2</v>
      </c>
      <c r="O272" s="360">
        <v>0</v>
      </c>
      <c r="P272" s="361">
        <v>7.2187805215498418E-2</v>
      </c>
      <c r="Q272" s="361">
        <v>0.13967218657709227</v>
      </c>
      <c r="R272" s="361">
        <v>0.15890269002414611</v>
      </c>
      <c r="S272" s="361">
        <v>0.20090236235492537</v>
      </c>
      <c r="T272" s="361">
        <v>0.20895713972656668</v>
      </c>
      <c r="U272" s="361">
        <v>0.21522286266493729</v>
      </c>
      <c r="V272" s="361">
        <v>0.21795368451751493</v>
      </c>
      <c r="W272" s="361">
        <v>0.22051537315696387</v>
      </c>
      <c r="X272" s="361">
        <v>0.22262705631114368</v>
      </c>
      <c r="Y272" s="397">
        <v>0.2240355439040326</v>
      </c>
      <c r="Z272" s="300">
        <f t="shared" si="120"/>
        <v>5.604507178472231E-2</v>
      </c>
      <c r="AA272" s="302">
        <f t="shared" si="121"/>
        <v>3.20616389533473E-2</v>
      </c>
      <c r="AB272" s="1054">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0.71796014970715616</v>
      </c>
      <c r="AC272" s="1055">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0.70542222861930781</v>
      </c>
      <c r="AD272" s="1334">
        <f t="shared" si="128"/>
        <v>0.71022730365483466</v>
      </c>
      <c r="AE272" s="1338">
        <f t="shared" si="125"/>
        <v>3.4825570491763956E-2</v>
      </c>
      <c r="AF272" s="1339">
        <f t="shared" si="126"/>
        <v>5.604507178472231E-2</v>
      </c>
      <c r="AG272" s="1339">
        <f t="shared" si="127"/>
        <v>9.0870642276486266E-2</v>
      </c>
      <c r="AH272" s="1280">
        <f t="shared" si="123"/>
        <v>0.38324336242504403</v>
      </c>
      <c r="AI272" s="1340">
        <f t="shared" si="124"/>
        <v>0.61675663757495591</v>
      </c>
    </row>
    <row r="273" spans="1:35" x14ac:dyDescent="0.2">
      <c r="A273" s="348">
        <v>2047</v>
      </c>
      <c r="B273" s="362">
        <v>0</v>
      </c>
      <c r="C273" s="363">
        <v>6.7687181883792219E-2</v>
      </c>
      <c r="D273" s="363">
        <v>0.12873703251978247</v>
      </c>
      <c r="E273" s="363">
        <v>0.15429349405383028</v>
      </c>
      <c r="F273" s="363">
        <v>0.19522420170183385</v>
      </c>
      <c r="G273" s="363">
        <v>0.20529085741008016</v>
      </c>
      <c r="H273" s="363">
        <v>0.21519122599599208</v>
      </c>
      <c r="I273" s="363">
        <v>0.21792175731334371</v>
      </c>
      <c r="J273" s="363">
        <v>0.22066681978867408</v>
      </c>
      <c r="K273" s="363">
        <v>0.22259464115024372</v>
      </c>
      <c r="L273" s="398">
        <v>0.22259464115024372</v>
      </c>
      <c r="M273" s="314">
        <f t="shared" si="118"/>
        <v>3.6861544602980849E-2</v>
      </c>
      <c r="N273" s="316">
        <f t="shared" si="119"/>
        <v>2.0885811713859906E-2</v>
      </c>
      <c r="O273" s="362">
        <v>0</v>
      </c>
      <c r="P273" s="363">
        <v>7.9624314331895568E-2</v>
      </c>
      <c r="Q273" s="363">
        <v>0.13833282814641032</v>
      </c>
      <c r="R273" s="363">
        <v>0.15781798853654574</v>
      </c>
      <c r="S273" s="363">
        <v>0.20087237449209891</v>
      </c>
      <c r="T273" s="363">
        <v>0.20892617660604421</v>
      </c>
      <c r="U273" s="363">
        <v>0.21519122599599208</v>
      </c>
      <c r="V273" s="363">
        <v>0.21792175731334371</v>
      </c>
      <c r="W273" s="363">
        <v>0.22259464115024372</v>
      </c>
      <c r="X273" s="363">
        <v>0.22259464115024372</v>
      </c>
      <c r="Y273" s="398">
        <v>0.22400298329892535</v>
      </c>
      <c r="Z273" s="314">
        <f t="shared" si="120"/>
        <v>5.7879186575110243E-2</v>
      </c>
      <c r="AA273" s="316">
        <f t="shared" si="121"/>
        <v>3.3879601446673846E-2</v>
      </c>
      <c r="AB273" s="1054">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0.73044588837641677</v>
      </c>
      <c r="AC273" s="1055">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0.71616548856760742</v>
      </c>
      <c r="AD273" s="1334">
        <f t="shared" si="128"/>
        <v>0.72172167953167454</v>
      </c>
      <c r="AE273" s="1338">
        <f t="shared" si="125"/>
        <v>3.6861544602980849E-2</v>
      </c>
      <c r="AF273" s="1339">
        <f t="shared" si="126"/>
        <v>5.7879186575110243E-2</v>
      </c>
      <c r="AG273" s="1339">
        <f t="shared" si="127"/>
        <v>9.4740731178091092E-2</v>
      </c>
      <c r="AH273" s="1280">
        <f t="shared" si="123"/>
        <v>0.38907810974869406</v>
      </c>
      <c r="AI273" s="1340">
        <f t="shared" si="124"/>
        <v>0.61092189025130594</v>
      </c>
    </row>
    <row r="274" spans="1:35" x14ac:dyDescent="0.2">
      <c r="A274" s="348">
        <v>2048</v>
      </c>
      <c r="B274" s="362">
        <v>0</v>
      </c>
      <c r="C274" s="363">
        <v>7.1826278381358591E-2</v>
      </c>
      <c r="D274" s="363">
        <v>0.13385526028841979</v>
      </c>
      <c r="E274" s="363">
        <v>0.15316968957060523</v>
      </c>
      <c r="F274" s="363">
        <v>0.20084235049445773</v>
      </c>
      <c r="G274" s="363">
        <v>0.20526028126007823</v>
      </c>
      <c r="H274" s="363">
        <v>0.21515955106148069</v>
      </c>
      <c r="I274" s="363">
        <v>0.2178897914596456</v>
      </c>
      <c r="J274" s="363">
        <v>0.22063456590502151</v>
      </c>
      <c r="K274" s="363">
        <v>0.22256218669174846</v>
      </c>
      <c r="L274" s="398">
        <v>0.22256218669174846</v>
      </c>
      <c r="M274" s="314">
        <f t="shared" si="118"/>
        <v>3.8006733663478134E-2</v>
      </c>
      <c r="N274" s="316">
        <f t="shared" si="119"/>
        <v>2.1748827471883843E-2</v>
      </c>
      <c r="O274" s="362">
        <v>0</v>
      </c>
      <c r="P274" s="363">
        <v>7.8658143078118622E-2</v>
      </c>
      <c r="Q274" s="363">
        <v>0.1432214695040448</v>
      </c>
      <c r="R274" s="363">
        <v>0.15765775630851964</v>
      </c>
      <c r="S274" s="363">
        <v>0.20611449337865015</v>
      </c>
      <c r="T274" s="363">
        <v>0.21327830733454128</v>
      </c>
      <c r="U274" s="363">
        <v>0.21515955106148069</v>
      </c>
      <c r="V274" s="363">
        <v>0.22063456590502151</v>
      </c>
      <c r="W274" s="363">
        <v>0.22256218669174846</v>
      </c>
      <c r="X274" s="363">
        <v>0.22256218669174846</v>
      </c>
      <c r="Y274" s="398">
        <v>0.22397038320252904</v>
      </c>
      <c r="Z274" s="314">
        <f t="shared" si="120"/>
        <v>5.8205048903618418E-2</v>
      </c>
      <c r="AA274" s="316">
        <f t="shared" si="121"/>
        <v>3.3904149445189165E-2</v>
      </c>
      <c r="AB274" s="1054">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0.73645674080006063</v>
      </c>
      <c r="AC274" s="1055">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0.71523441542139565</v>
      </c>
      <c r="AD274" s="1334">
        <f t="shared" si="128"/>
        <v>0.72361791323076308</v>
      </c>
      <c r="AE274" s="1338">
        <f t="shared" si="125"/>
        <v>3.8006733663478134E-2</v>
      </c>
      <c r="AF274" s="1339">
        <f t="shared" si="126"/>
        <v>5.8205048903618418E-2</v>
      </c>
      <c r="AG274" s="1339">
        <f t="shared" si="127"/>
        <v>9.621178256709656E-2</v>
      </c>
      <c r="AH274" s="1280">
        <f t="shared" si="123"/>
        <v>0.39503200802846417</v>
      </c>
      <c r="AI274" s="1340">
        <f t="shared" si="124"/>
        <v>0.60496799197153583</v>
      </c>
    </row>
    <row r="275" spans="1:35" x14ac:dyDescent="0.2">
      <c r="A275" s="348">
        <v>2049</v>
      </c>
      <c r="B275" s="362">
        <v>0</v>
      </c>
      <c r="C275" s="363">
        <v>6.8375359734620125E-2</v>
      </c>
      <c r="D275" s="363">
        <v>0.13372983004184391</v>
      </c>
      <c r="E275" s="363">
        <v>0.15301830444458472</v>
      </c>
      <c r="F275" s="363">
        <v>0.20081231081853065</v>
      </c>
      <c r="G275" s="363">
        <v>0.20522968911117939</v>
      </c>
      <c r="H275" s="363">
        <v>0.21512785944240631</v>
      </c>
      <c r="I275" s="363">
        <v>0.21785780873555033</v>
      </c>
      <c r="J275" s="363">
        <v>0.22060229496541892</v>
      </c>
      <c r="K275" s="363">
        <v>0.22252971504753652</v>
      </c>
      <c r="L275" s="398">
        <v>0.22252971504753652</v>
      </c>
      <c r="M275" s="314">
        <f t="shared" si="118"/>
        <v>3.7468025888746065E-2</v>
      </c>
      <c r="N275" s="316">
        <f t="shared" si="119"/>
        <v>2.1251183041173669E-2</v>
      </c>
      <c r="O275" s="362">
        <v>0</v>
      </c>
      <c r="P275" s="363">
        <v>8.3562592588924664E-2</v>
      </c>
      <c r="Q275" s="363">
        <v>0.14308323209663157</v>
      </c>
      <c r="R275" s="363">
        <v>0.16284586765094747</v>
      </c>
      <c r="S275" s="363">
        <v>0.20608387332345718</v>
      </c>
      <c r="T275" s="363">
        <v>0.21324681682141827</v>
      </c>
      <c r="U275" s="363">
        <v>0.21512785944240631</v>
      </c>
      <c r="V275" s="363">
        <v>0.22060229496541892</v>
      </c>
      <c r="W275" s="363">
        <v>0.22252971504753652</v>
      </c>
      <c r="X275" s="363">
        <v>0.22252971504753652</v>
      </c>
      <c r="Y275" s="398">
        <v>0.22393776582590302</v>
      </c>
      <c r="Z275" s="314">
        <f t="shared" si="120"/>
        <v>5.9825218016238628E-2</v>
      </c>
      <c r="AA275" s="316">
        <f t="shared" si="121"/>
        <v>3.5271429928908471E-2</v>
      </c>
      <c r="AB275" s="1054">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0.73365101059705684</v>
      </c>
      <c r="AC275" s="1055">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0.72137494170399485</v>
      </c>
      <c r="AD275" s="1334">
        <f t="shared" si="128"/>
        <v>0.72610250600996529</v>
      </c>
      <c r="AE275" s="1338">
        <f t="shared" si="125"/>
        <v>3.7468025888746065E-2</v>
      </c>
      <c r="AF275" s="1339">
        <f t="shared" si="126"/>
        <v>5.9825218016238628E-2</v>
      </c>
      <c r="AG275" s="1339">
        <f t="shared" si="127"/>
        <v>9.72932439049847E-2</v>
      </c>
      <c r="AH275" s="1280">
        <f t="shared" si="123"/>
        <v>0.3851040872410097</v>
      </c>
      <c r="AI275" s="1340">
        <f t="shared" si="124"/>
        <v>0.61489591275899025</v>
      </c>
    </row>
    <row r="276" spans="1:35" ht="13.5" thickBot="1" x14ac:dyDescent="0.25">
      <c r="A276" s="346">
        <v>2050</v>
      </c>
      <c r="B276" s="364">
        <v>0</v>
      </c>
      <c r="C276" s="365">
        <v>6.8322816237909548E-2</v>
      </c>
      <c r="D276" s="365">
        <v>0.13238328637301688</v>
      </c>
      <c r="E276" s="365">
        <v>0.1519530578543849</v>
      </c>
      <c r="F276" s="365">
        <v>0.20078225547062975</v>
      </c>
      <c r="G276" s="365">
        <v>0.21005058894523668</v>
      </c>
      <c r="H276" s="365">
        <v>0.21509615114520145</v>
      </c>
      <c r="I276" s="365">
        <v>0.21782580914749777</v>
      </c>
      <c r="J276" s="365">
        <v>0.22057000697631113</v>
      </c>
      <c r="K276" s="365">
        <v>0.22249722622405513</v>
      </c>
      <c r="L276" s="399">
        <v>0.22249722622405513</v>
      </c>
      <c r="M276" s="328">
        <f t="shared" si="118"/>
        <v>3.7293062290582671E-2</v>
      </c>
      <c r="N276" s="330">
        <f t="shared" si="119"/>
        <v>2.115697309267529E-2</v>
      </c>
      <c r="O276" s="364">
        <v>0</v>
      </c>
      <c r="P276" s="365">
        <v>8.2450328669470357E-2</v>
      </c>
      <c r="Q276" s="365">
        <v>0.1417433428820952</v>
      </c>
      <c r="R276" s="365">
        <v>0.16268241816298984</v>
      </c>
      <c r="S276" s="365">
        <v>0.20605323723159349</v>
      </c>
      <c r="T276" s="365">
        <v>0.21321530975845987</v>
      </c>
      <c r="U276" s="365">
        <v>0.21509615114520145</v>
      </c>
      <c r="V276" s="365">
        <v>0.22057000697631113</v>
      </c>
      <c r="W276" s="365">
        <v>0.22249722622405513</v>
      </c>
      <c r="X276" s="365">
        <v>0.22249722622405513</v>
      </c>
      <c r="Y276" s="399">
        <v>0.22390513117549576</v>
      </c>
      <c r="Z276" s="328">
        <f t="shared" si="120"/>
        <v>5.9400648170356091E-2</v>
      </c>
      <c r="AA276" s="330">
        <f t="shared" si="121"/>
        <v>3.4919933366525102E-2</v>
      </c>
      <c r="AB276" s="1056">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0.73426067474466183</v>
      </c>
      <c r="AC276" s="1057">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0.72044198399957604</v>
      </c>
      <c r="AD276" s="1335">
        <f t="shared" si="128"/>
        <v>0.72577160980744038</v>
      </c>
      <c r="AE276" s="1341">
        <f t="shared" si="125"/>
        <v>3.7293062290582671E-2</v>
      </c>
      <c r="AF276" s="1342">
        <f t="shared" si="126"/>
        <v>5.9400648170356091E-2</v>
      </c>
      <c r="AG276" s="1342">
        <f t="shared" si="127"/>
        <v>9.6693710460938762E-2</v>
      </c>
      <c r="AH276" s="1343">
        <f t="shared" si="123"/>
        <v>0.38568239974251378</v>
      </c>
      <c r="AI276" s="1344">
        <f t="shared" si="124"/>
        <v>0.61431760025748616</v>
      </c>
    </row>
    <row r="277" spans="1:35" x14ac:dyDescent="0.2">
      <c r="B277" s="245" t="s">
        <v>249</v>
      </c>
      <c r="U277" s="245" t="s">
        <v>249</v>
      </c>
      <c r="AI277" s="245"/>
    </row>
    <row r="278" spans="1:35" x14ac:dyDescent="0.2">
      <c r="AI278" s="245"/>
    </row>
    <row r="279" spans="1:35" ht="13.5" thickBot="1" x14ac:dyDescent="0.25">
      <c r="AI279" s="245"/>
    </row>
    <row r="280" spans="1:35" ht="15" x14ac:dyDescent="0.25">
      <c r="A280" s="351"/>
      <c r="B280" s="1561" t="s">
        <v>225</v>
      </c>
      <c r="C280" s="1562"/>
      <c r="D280" s="1562"/>
      <c r="E280" s="1562"/>
      <c r="F280" s="1562"/>
      <c r="G280" s="1562"/>
      <c r="H280" s="1562"/>
      <c r="I280" s="1562"/>
      <c r="J280" s="1562"/>
      <c r="K280" s="1562"/>
      <c r="L280" s="1562"/>
      <c r="M280" s="1562"/>
      <c r="N280" s="1563"/>
      <c r="O280" s="1561" t="s">
        <v>224</v>
      </c>
      <c r="P280" s="1562"/>
      <c r="Q280" s="1562"/>
      <c r="R280" s="1562"/>
      <c r="S280" s="1562"/>
      <c r="T280" s="1562"/>
      <c r="U280" s="1562"/>
      <c r="V280" s="1562"/>
      <c r="W280" s="1562"/>
      <c r="X280" s="1562"/>
      <c r="Y280" s="1562"/>
      <c r="Z280" s="1562"/>
      <c r="AA280" s="1563"/>
    </row>
    <row r="281" spans="1:35"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C281" s="1060" t="s">
        <v>276</v>
      </c>
      <c r="AD281" s="252" t="b">
        <f>INDEX(TECH_OPT_FUEL2_Cls3,MATCH(RIGHT(O280),TECH_OPT_ROWS_Cls3,0))&lt;&gt;"N/A"</f>
        <v>0</v>
      </c>
    </row>
    <row r="282" spans="1:35"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2"/>
      <c r="AC282" s="1060" t="s">
        <v>277</v>
      </c>
      <c r="AD282" s="252">
        <f>MATCH(RIGHT(O280),TECH_OPT_ROWS_Cls3,0)</f>
        <v>6</v>
      </c>
    </row>
    <row r="283" spans="1:35" ht="14.25" thickTop="1" thickBot="1" x14ac:dyDescent="0.25">
      <c r="A283" s="366" t="s">
        <v>124</v>
      </c>
      <c r="B283" s="358">
        <f t="array" ref="B283:L283">TRANSPOSE(Cls3CentTruckShr)</f>
        <v>0.16490316390132354</v>
      </c>
      <c r="C283" s="359">
        <v>0.14150050624583405</v>
      </c>
      <c r="D283" s="359">
        <v>5.0842757108027201E-2</v>
      </c>
      <c r="E283" s="359">
        <v>1.7493235097392132E-2</v>
      </c>
      <c r="F283" s="359">
        <v>6.5645600537602268E-3</v>
      </c>
      <c r="G283" s="359">
        <v>1.3068268788829179E-4</v>
      </c>
      <c r="H283" s="359">
        <v>2.9863696966199553E-3</v>
      </c>
      <c r="I283" s="359">
        <v>0</v>
      </c>
      <c r="J283" s="359">
        <v>0</v>
      </c>
      <c r="K283" s="359">
        <v>5.0573390409248292E-4</v>
      </c>
      <c r="L283" s="396">
        <v>0</v>
      </c>
      <c r="M283" s="402"/>
      <c r="N283" s="354"/>
      <c r="O283" s="358">
        <f t="array" ref="O283:Y283">TRANSPOSE(Cls3NCentTruckShr)</f>
        <v>0.27324001996593789</v>
      </c>
      <c r="P283" s="359">
        <v>0.25610450783680394</v>
      </c>
      <c r="Q283" s="359">
        <v>4.6572125423937315E-2</v>
      </c>
      <c r="R283" s="359">
        <v>2.2779497082922668E-2</v>
      </c>
      <c r="S283" s="359">
        <v>5.0811779544371336E-3</v>
      </c>
      <c r="T283" s="359">
        <v>2.5955840495899339E-3</v>
      </c>
      <c r="U283" s="359">
        <v>4.3441677754441459E-3</v>
      </c>
      <c r="V283" s="359">
        <v>3.7558983870508854E-3</v>
      </c>
      <c r="W283" s="359">
        <v>4.897828379299261E-4</v>
      </c>
      <c r="X283" s="359">
        <v>0</v>
      </c>
      <c r="Y283" s="1317">
        <v>1.1022999100839563E-4</v>
      </c>
      <c r="Z283" s="1322"/>
      <c r="AA283" s="1323"/>
    </row>
    <row r="284" spans="1:35" x14ac:dyDescent="0.2">
      <c r="A284" s="349" t="s">
        <v>125</v>
      </c>
      <c r="B284" s="1029">
        <f t="array" ref="B284:L284">TRANSPOSE(Cls3CentVMTShr)</f>
        <v>7.4407503791532936E-2</v>
      </c>
      <c r="C284" s="1030">
        <v>0.15052192967997111</v>
      </c>
      <c r="D284" s="1030">
        <v>8.9028098283245441E-2</v>
      </c>
      <c r="E284" s="1030">
        <v>4.5356257743642811E-2</v>
      </c>
      <c r="F284" s="1030">
        <v>2.1016507050137231E-2</v>
      </c>
      <c r="G284" s="1030">
        <v>4.9007047894213725E-4</v>
      </c>
      <c r="H284" s="1030">
        <v>1.4797621296467818E-2</v>
      </c>
      <c r="I284" s="1030">
        <v>0</v>
      </c>
      <c r="J284" s="1030">
        <v>0</v>
      </c>
      <c r="K284" s="1030">
        <v>3.7103078033661591E-3</v>
      </c>
      <c r="L284" s="1318">
        <v>0</v>
      </c>
      <c r="M284" s="1319"/>
      <c r="N284" s="1320"/>
      <c r="O284" s="1029">
        <f t="array" ref="O284:Y284">TRANSPOSE(Cls3NCentVMTShr)</f>
        <v>0.11481596497083862</v>
      </c>
      <c r="P284" s="1030">
        <v>0.26987209279577573</v>
      </c>
      <c r="Q284" s="1030">
        <v>8.3836105982992667E-2</v>
      </c>
      <c r="R284" s="1030">
        <v>5.9842896537765707E-2</v>
      </c>
      <c r="S284" s="1030">
        <v>1.6413649143963899E-2</v>
      </c>
      <c r="T284" s="1030">
        <v>1.0165768727376887E-2</v>
      </c>
      <c r="U284" s="1030">
        <v>2.0700108148562976E-2</v>
      </c>
      <c r="V284" s="1030">
        <v>2.0956833812228508E-2</v>
      </c>
      <c r="W284" s="1030">
        <v>3.1584958359553582E-3</v>
      </c>
      <c r="X284" s="1030">
        <v>0</v>
      </c>
      <c r="Y284" s="1031">
        <v>9.0978791723388369E-4</v>
      </c>
      <c r="Z284" s="1319"/>
      <c r="AA284" s="1320"/>
      <c r="AB284" s="1574" t="str">
        <f>"% of miles on f2 for Tech "&amp; RIGHT(O279)&amp;" adopters"</f>
        <v>% of miles on f2 for Tech  adopters</v>
      </c>
      <c r="AC284" s="1575"/>
      <c r="AD284" s="1576"/>
      <c r="AE284" s="1345" t="s">
        <v>307</v>
      </c>
      <c r="AF284" s="1346"/>
      <c r="AG284" s="1346"/>
      <c r="AH284" s="1336" t="s">
        <v>306</v>
      </c>
      <c r="AI284" s="1337"/>
    </row>
    <row r="285" spans="1:35" ht="13.5" thickBot="1" x14ac:dyDescent="0.25">
      <c r="A285" s="1048" t="s">
        <v>275</v>
      </c>
      <c r="B285" s="1039">
        <f t="array" ref="B285:L285">TRANSPOSE(Cls3CentVMT/OPDAYS_Cls3)</f>
        <v>49.202805162026571</v>
      </c>
      <c r="C285" s="1040">
        <v>115.99623692884222</v>
      </c>
      <c r="D285" s="1040">
        <v>190.94140758026836</v>
      </c>
      <c r="E285" s="1040">
        <v>282.72824571583544</v>
      </c>
      <c r="F285" s="1040">
        <v>349.10577157713089</v>
      </c>
      <c r="G285" s="1040">
        <v>408.92399999999998</v>
      </c>
      <c r="H285" s="1040">
        <v>540.31926836851005</v>
      </c>
      <c r="I285" s="1040">
        <v>600</v>
      </c>
      <c r="J285" s="1040">
        <v>680</v>
      </c>
      <c r="K285" s="1040">
        <v>800.00000000000011</v>
      </c>
      <c r="L285" s="1041">
        <v>800</v>
      </c>
      <c r="M285" s="1037"/>
      <c r="N285" s="1038"/>
      <c r="O285" s="1039">
        <f t="array" ref="O285:Y285">TRANSPOSE(Cls3NCentVMT/OPDAYS_Cls3)</f>
        <v>45.820527909508108</v>
      </c>
      <c r="P285" s="1040">
        <v>114.90604343518244</v>
      </c>
      <c r="Q285" s="1040">
        <v>196.29405935940918</v>
      </c>
      <c r="R285" s="1040">
        <v>286.46435582159182</v>
      </c>
      <c r="S285" s="1040">
        <v>352.24339419308075</v>
      </c>
      <c r="T285" s="1040">
        <v>427.07804424634116</v>
      </c>
      <c r="U285" s="1040">
        <v>519.59880241076587</v>
      </c>
      <c r="V285" s="1040">
        <v>608.4346682070543</v>
      </c>
      <c r="W285" s="1040">
        <v>703.2</v>
      </c>
      <c r="X285" s="1040">
        <v>760</v>
      </c>
      <c r="Y285" s="1321">
        <v>900</v>
      </c>
      <c r="Z285" s="1049"/>
      <c r="AA285" s="1038"/>
      <c r="AB285" s="1051" t="s">
        <v>188</v>
      </c>
      <c r="AC285" s="1052" t="s">
        <v>15</v>
      </c>
      <c r="AD285" s="1053" t="s">
        <v>18</v>
      </c>
      <c r="AE285" s="348" t="s">
        <v>188</v>
      </c>
      <c r="AF285" s="1347" t="s">
        <v>15</v>
      </c>
      <c r="AG285" s="1347" t="s">
        <v>18</v>
      </c>
      <c r="AH285" s="1348" t="s">
        <v>188</v>
      </c>
      <c r="AI285" s="1349" t="s">
        <v>15</v>
      </c>
    </row>
    <row r="286" spans="1:35" ht="13.5" thickTop="1" x14ac:dyDescent="0.2">
      <c r="A286" s="344">
        <v>2007</v>
      </c>
      <c r="B286" s="360">
        <v>0</v>
      </c>
      <c r="C286" s="361">
        <v>0</v>
      </c>
      <c r="D286" s="361">
        <v>0</v>
      </c>
      <c r="E286" s="361">
        <v>0</v>
      </c>
      <c r="F286" s="361">
        <v>0</v>
      </c>
      <c r="G286" s="361">
        <v>0</v>
      </c>
      <c r="H286" s="361">
        <v>0</v>
      </c>
      <c r="I286" s="361">
        <v>0</v>
      </c>
      <c r="J286" s="361">
        <v>0</v>
      </c>
      <c r="K286" s="361">
        <v>0</v>
      </c>
      <c r="L286" s="397">
        <v>0</v>
      </c>
      <c r="M286" s="405">
        <f>SUMPRODUCT(B286:L286,$B$284:$L$284)</f>
        <v>0</v>
      </c>
      <c r="N286" s="302">
        <f>SUMPRODUCT(B286:L286,$B$283:$L$283)</f>
        <v>0</v>
      </c>
      <c r="O286" s="360">
        <v>0</v>
      </c>
      <c r="P286" s="361">
        <v>0</v>
      </c>
      <c r="Q286" s="361">
        <v>0</v>
      </c>
      <c r="R286" s="361">
        <v>0</v>
      </c>
      <c r="S286" s="361">
        <v>0</v>
      </c>
      <c r="T286" s="361">
        <v>0</v>
      </c>
      <c r="U286" s="361">
        <v>0</v>
      </c>
      <c r="V286" s="361">
        <v>0</v>
      </c>
      <c r="W286" s="361">
        <v>0</v>
      </c>
      <c r="X286" s="361">
        <v>0</v>
      </c>
      <c r="Y286" s="397">
        <v>0</v>
      </c>
      <c r="Z286" s="405">
        <f>SUMPRODUCT(O286:Y286,$O$284:$Y$284)</f>
        <v>0</v>
      </c>
      <c r="AA286" s="302">
        <f>SUMPRODUCT(O286:Y286,$O$283:$Y$283)</f>
        <v>0</v>
      </c>
      <c r="AB286" s="1054">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1055">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334">
        <f>AB286*AH286+AC286*AI286</f>
        <v>0</v>
      </c>
      <c r="AE286" s="1338">
        <f t="shared" ref="AE286:AE300" si="129">SUMPRODUCT($B$74:$L$74,B286:L286)</f>
        <v>0</v>
      </c>
      <c r="AF286" s="1339">
        <f t="shared" ref="AF286:AF300" si="130">SUMPRODUCT($O$74:$Y$74,O286:Y286)</f>
        <v>0</v>
      </c>
      <c r="AG286" s="1339">
        <f t="shared" ref="AG286:AG300" si="131">SUM(AE286:AF286)</f>
        <v>0</v>
      </c>
      <c r="AH286" s="1280">
        <f>IF(AG286&gt;0,AE286/AG286,0)</f>
        <v>0</v>
      </c>
      <c r="AI286" s="1340">
        <f>IF(AG286&gt;0,AF286/AG286,0)</f>
        <v>0</v>
      </c>
    </row>
    <row r="287" spans="1:35"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32">SUMPRODUCT(B287:L287,$B$284:$L$284)</f>
        <v>0</v>
      </c>
      <c r="N287" s="316">
        <f t="shared" ref="N287:N329" si="133">SUMPRODUCT(B287:L287,$B$283:$L$283)</f>
        <v>0</v>
      </c>
      <c r="O287" s="362">
        <v>0</v>
      </c>
      <c r="P287" s="363">
        <v>0</v>
      </c>
      <c r="Q287" s="363">
        <v>0</v>
      </c>
      <c r="R287" s="363">
        <v>0</v>
      </c>
      <c r="S287" s="363">
        <v>0</v>
      </c>
      <c r="T287" s="363">
        <v>0</v>
      </c>
      <c r="U287" s="363">
        <v>0</v>
      </c>
      <c r="V287" s="363">
        <v>0</v>
      </c>
      <c r="W287" s="363">
        <v>0</v>
      </c>
      <c r="X287" s="363">
        <v>0</v>
      </c>
      <c r="Y287" s="398">
        <v>0</v>
      </c>
      <c r="Z287" s="314">
        <f t="shared" ref="Z287:Z329" si="134">SUMPRODUCT(O287:Y287,$O$284:$Y$284)</f>
        <v>0</v>
      </c>
      <c r="AA287" s="316">
        <f t="shared" ref="AA287:AA329" si="135">SUMPRODUCT(O287:Y287,$O$283:$Y$283)</f>
        <v>0</v>
      </c>
      <c r="AB287" s="1054">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1055">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334">
        <f t="shared" ref="AD287:AD311" si="136">AB287*AH287+AC287*AI287</f>
        <v>0</v>
      </c>
      <c r="AE287" s="1338">
        <f t="shared" si="129"/>
        <v>0</v>
      </c>
      <c r="AF287" s="1339">
        <f t="shared" si="130"/>
        <v>0</v>
      </c>
      <c r="AG287" s="1339">
        <f t="shared" si="131"/>
        <v>0</v>
      </c>
      <c r="AH287" s="1280">
        <f t="shared" ref="AH287:AH329" si="137">IF(AG287&gt;0,AE287/AG287,0)</f>
        <v>0</v>
      </c>
      <c r="AI287" s="1340">
        <f t="shared" ref="AI287:AI329" si="138">IF(AG287&gt;0,AF287/AG287,0)</f>
        <v>0</v>
      </c>
    </row>
    <row r="288" spans="1:35" x14ac:dyDescent="0.2">
      <c r="A288" s="345">
        <v>2009</v>
      </c>
      <c r="B288" s="362">
        <v>0</v>
      </c>
      <c r="C288" s="363">
        <v>0</v>
      </c>
      <c r="D288" s="363">
        <v>0</v>
      </c>
      <c r="E288" s="363">
        <v>0</v>
      </c>
      <c r="F288" s="363">
        <v>0</v>
      </c>
      <c r="G288" s="363">
        <v>0</v>
      </c>
      <c r="H288" s="363">
        <v>0</v>
      </c>
      <c r="I288" s="363">
        <v>0</v>
      </c>
      <c r="J288" s="363">
        <v>0</v>
      </c>
      <c r="K288" s="363">
        <v>0</v>
      </c>
      <c r="L288" s="398">
        <v>0</v>
      </c>
      <c r="M288" s="314">
        <f t="shared" si="132"/>
        <v>0</v>
      </c>
      <c r="N288" s="316">
        <f t="shared" si="133"/>
        <v>0</v>
      </c>
      <c r="O288" s="362">
        <v>0</v>
      </c>
      <c r="P288" s="363">
        <v>0</v>
      </c>
      <c r="Q288" s="363">
        <v>0</v>
      </c>
      <c r="R288" s="363">
        <v>0</v>
      </c>
      <c r="S288" s="363">
        <v>0</v>
      </c>
      <c r="T288" s="363">
        <v>0</v>
      </c>
      <c r="U288" s="363">
        <v>0</v>
      </c>
      <c r="V288" s="363">
        <v>0</v>
      </c>
      <c r="W288" s="363">
        <v>0</v>
      </c>
      <c r="X288" s="363">
        <v>0</v>
      </c>
      <c r="Y288" s="398">
        <v>0</v>
      </c>
      <c r="Z288" s="314">
        <f t="shared" si="134"/>
        <v>0</v>
      </c>
      <c r="AA288" s="316">
        <f t="shared" si="135"/>
        <v>0</v>
      </c>
      <c r="AB288" s="1054">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1055">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334">
        <f t="shared" si="136"/>
        <v>0</v>
      </c>
      <c r="AE288" s="1338">
        <f t="shared" si="129"/>
        <v>0</v>
      </c>
      <c r="AF288" s="1339">
        <f t="shared" si="130"/>
        <v>0</v>
      </c>
      <c r="AG288" s="1339">
        <f t="shared" si="131"/>
        <v>0</v>
      </c>
      <c r="AH288" s="1280">
        <f t="shared" si="137"/>
        <v>0</v>
      </c>
      <c r="AI288" s="1340">
        <f t="shared" si="138"/>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2"/>
        <v>0</v>
      </c>
      <c r="N289" s="330">
        <f t="shared" si="133"/>
        <v>0</v>
      </c>
      <c r="O289" s="364">
        <v>0</v>
      </c>
      <c r="P289" s="365">
        <v>0</v>
      </c>
      <c r="Q289" s="365">
        <v>0</v>
      </c>
      <c r="R289" s="365">
        <v>0</v>
      </c>
      <c r="S289" s="365">
        <v>0</v>
      </c>
      <c r="T289" s="365">
        <v>0</v>
      </c>
      <c r="U289" s="365">
        <v>0</v>
      </c>
      <c r="V289" s="365">
        <v>0</v>
      </c>
      <c r="W289" s="365">
        <v>0</v>
      </c>
      <c r="X289" s="365">
        <v>0</v>
      </c>
      <c r="Y289" s="399">
        <v>0</v>
      </c>
      <c r="Z289" s="328">
        <f t="shared" si="134"/>
        <v>0</v>
      </c>
      <c r="AA289" s="330">
        <f t="shared" si="135"/>
        <v>0</v>
      </c>
      <c r="AB289" s="1054">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1055">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334">
        <f t="shared" si="136"/>
        <v>0</v>
      </c>
      <c r="AE289" s="1338">
        <f t="shared" si="129"/>
        <v>0</v>
      </c>
      <c r="AF289" s="1339">
        <f t="shared" si="130"/>
        <v>0</v>
      </c>
      <c r="AG289" s="1339">
        <f t="shared" si="131"/>
        <v>0</v>
      </c>
      <c r="AH289" s="1280">
        <f t="shared" si="137"/>
        <v>0</v>
      </c>
      <c r="AI289" s="1340">
        <f t="shared" si="138"/>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2"/>
        <v>0</v>
      </c>
      <c r="N290" s="302">
        <f t="shared" si="133"/>
        <v>0</v>
      </c>
      <c r="O290" s="360">
        <v>0</v>
      </c>
      <c r="P290" s="361">
        <v>0</v>
      </c>
      <c r="Q290" s="361">
        <v>0</v>
      </c>
      <c r="R290" s="361">
        <v>0</v>
      </c>
      <c r="S290" s="361">
        <v>0</v>
      </c>
      <c r="T290" s="361">
        <v>0</v>
      </c>
      <c r="U290" s="361">
        <v>0</v>
      </c>
      <c r="V290" s="361">
        <v>0</v>
      </c>
      <c r="W290" s="361">
        <v>0</v>
      </c>
      <c r="X290" s="361">
        <v>0</v>
      </c>
      <c r="Y290" s="397">
        <v>0</v>
      </c>
      <c r="Z290" s="300">
        <f t="shared" si="134"/>
        <v>0</v>
      </c>
      <c r="AA290" s="302">
        <f t="shared" si="135"/>
        <v>0</v>
      </c>
      <c r="AB290" s="1054">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1055">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334">
        <f t="shared" si="136"/>
        <v>0</v>
      </c>
      <c r="AE290" s="1338">
        <f t="shared" si="129"/>
        <v>0</v>
      </c>
      <c r="AF290" s="1339">
        <f t="shared" si="130"/>
        <v>0</v>
      </c>
      <c r="AG290" s="1339">
        <f t="shared" si="131"/>
        <v>0</v>
      </c>
      <c r="AH290" s="1280">
        <f t="shared" si="137"/>
        <v>0</v>
      </c>
      <c r="AI290" s="1340">
        <f t="shared" si="138"/>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2"/>
        <v>0</v>
      </c>
      <c r="N291" s="316">
        <f t="shared" si="133"/>
        <v>0</v>
      </c>
      <c r="O291" s="362">
        <v>0</v>
      </c>
      <c r="P291" s="363">
        <v>0</v>
      </c>
      <c r="Q291" s="363">
        <v>0</v>
      </c>
      <c r="R291" s="363">
        <v>0</v>
      </c>
      <c r="S291" s="363">
        <v>0</v>
      </c>
      <c r="T291" s="363">
        <v>0</v>
      </c>
      <c r="U291" s="363">
        <v>0</v>
      </c>
      <c r="V291" s="363">
        <v>0</v>
      </c>
      <c r="W291" s="363">
        <v>0</v>
      </c>
      <c r="X291" s="363">
        <v>0</v>
      </c>
      <c r="Y291" s="398">
        <v>0</v>
      </c>
      <c r="Z291" s="314">
        <f t="shared" si="134"/>
        <v>0</v>
      </c>
      <c r="AA291" s="316">
        <f t="shared" si="135"/>
        <v>0</v>
      </c>
      <c r="AB291" s="1054">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1055">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334">
        <f t="shared" si="136"/>
        <v>0</v>
      </c>
      <c r="AE291" s="1338">
        <f t="shared" si="129"/>
        <v>0</v>
      </c>
      <c r="AF291" s="1339">
        <f t="shared" si="130"/>
        <v>0</v>
      </c>
      <c r="AG291" s="1339">
        <f t="shared" si="131"/>
        <v>0</v>
      </c>
      <c r="AH291" s="1280">
        <f t="shared" si="137"/>
        <v>0</v>
      </c>
      <c r="AI291" s="1340">
        <f t="shared" si="138"/>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2"/>
        <v>0</v>
      </c>
      <c r="N292" s="316">
        <f t="shared" si="133"/>
        <v>0</v>
      </c>
      <c r="O292" s="362">
        <v>0</v>
      </c>
      <c r="P292" s="363">
        <v>0</v>
      </c>
      <c r="Q292" s="363">
        <v>0</v>
      </c>
      <c r="R292" s="363">
        <v>0</v>
      </c>
      <c r="S292" s="363">
        <v>0</v>
      </c>
      <c r="T292" s="363">
        <v>0</v>
      </c>
      <c r="U292" s="363">
        <v>0</v>
      </c>
      <c r="V292" s="363">
        <v>0</v>
      </c>
      <c r="W292" s="363">
        <v>0</v>
      </c>
      <c r="X292" s="363">
        <v>0</v>
      </c>
      <c r="Y292" s="398">
        <v>0</v>
      </c>
      <c r="Z292" s="314">
        <f t="shared" si="134"/>
        <v>0</v>
      </c>
      <c r="AA292" s="316">
        <f t="shared" si="135"/>
        <v>0</v>
      </c>
      <c r="AB292" s="1054">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1055">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334">
        <f t="shared" si="136"/>
        <v>0</v>
      </c>
      <c r="AE292" s="1338">
        <f t="shared" si="129"/>
        <v>0</v>
      </c>
      <c r="AF292" s="1339">
        <f t="shared" si="130"/>
        <v>0</v>
      </c>
      <c r="AG292" s="1339">
        <f t="shared" si="131"/>
        <v>0</v>
      </c>
      <c r="AH292" s="1280">
        <f t="shared" si="137"/>
        <v>0</v>
      </c>
      <c r="AI292" s="1340">
        <f t="shared" si="138"/>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2"/>
        <v>0</v>
      </c>
      <c r="N293" s="316">
        <f t="shared" si="133"/>
        <v>0</v>
      </c>
      <c r="O293" s="362">
        <v>0</v>
      </c>
      <c r="P293" s="363">
        <v>0</v>
      </c>
      <c r="Q293" s="363">
        <v>0</v>
      </c>
      <c r="R293" s="363">
        <v>0</v>
      </c>
      <c r="S293" s="363">
        <v>0</v>
      </c>
      <c r="T293" s="363">
        <v>0</v>
      </c>
      <c r="U293" s="363">
        <v>0</v>
      </c>
      <c r="V293" s="363">
        <v>0</v>
      </c>
      <c r="W293" s="363">
        <v>0</v>
      </c>
      <c r="X293" s="363">
        <v>0</v>
      </c>
      <c r="Y293" s="398">
        <v>0</v>
      </c>
      <c r="Z293" s="314">
        <f t="shared" si="134"/>
        <v>0</v>
      </c>
      <c r="AA293" s="316">
        <f t="shared" si="135"/>
        <v>0</v>
      </c>
      <c r="AB293" s="1054">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1055">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334">
        <f t="shared" si="136"/>
        <v>0</v>
      </c>
      <c r="AE293" s="1338">
        <f t="shared" si="129"/>
        <v>0</v>
      </c>
      <c r="AF293" s="1339">
        <f t="shared" si="130"/>
        <v>0</v>
      </c>
      <c r="AG293" s="1339">
        <f t="shared" si="131"/>
        <v>0</v>
      </c>
      <c r="AH293" s="1280">
        <f t="shared" si="137"/>
        <v>0</v>
      </c>
      <c r="AI293" s="1340">
        <f t="shared" si="138"/>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2"/>
        <v>0</v>
      </c>
      <c r="N294" s="330">
        <f t="shared" si="133"/>
        <v>0</v>
      </c>
      <c r="O294" s="364">
        <v>0</v>
      </c>
      <c r="P294" s="365">
        <v>0</v>
      </c>
      <c r="Q294" s="365">
        <v>0</v>
      </c>
      <c r="R294" s="365">
        <v>0</v>
      </c>
      <c r="S294" s="365">
        <v>0</v>
      </c>
      <c r="T294" s="365">
        <v>0</v>
      </c>
      <c r="U294" s="365">
        <v>0</v>
      </c>
      <c r="V294" s="365">
        <v>0</v>
      </c>
      <c r="W294" s="365">
        <v>0</v>
      </c>
      <c r="X294" s="365">
        <v>0</v>
      </c>
      <c r="Y294" s="399">
        <v>0</v>
      </c>
      <c r="Z294" s="328">
        <f t="shared" si="134"/>
        <v>0</v>
      </c>
      <c r="AA294" s="330">
        <f t="shared" si="135"/>
        <v>0</v>
      </c>
      <c r="AB294" s="1054">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1055">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334">
        <f t="shared" si="136"/>
        <v>0</v>
      </c>
      <c r="AE294" s="1338">
        <f t="shared" si="129"/>
        <v>0</v>
      </c>
      <c r="AF294" s="1339">
        <f t="shared" si="130"/>
        <v>0</v>
      </c>
      <c r="AG294" s="1339">
        <f t="shared" si="131"/>
        <v>0</v>
      </c>
      <c r="AH294" s="1280">
        <f t="shared" si="137"/>
        <v>0</v>
      </c>
      <c r="AI294" s="1340">
        <f t="shared" si="138"/>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2"/>
        <v>0</v>
      </c>
      <c r="N295" s="302">
        <f t="shared" si="133"/>
        <v>0</v>
      </c>
      <c r="O295" s="360">
        <v>0</v>
      </c>
      <c r="P295" s="361">
        <v>0</v>
      </c>
      <c r="Q295" s="361">
        <v>0</v>
      </c>
      <c r="R295" s="361">
        <v>0</v>
      </c>
      <c r="S295" s="361">
        <v>0</v>
      </c>
      <c r="T295" s="361">
        <v>0</v>
      </c>
      <c r="U295" s="361">
        <v>0</v>
      </c>
      <c r="V295" s="361">
        <v>0</v>
      </c>
      <c r="W295" s="361">
        <v>0</v>
      </c>
      <c r="X295" s="361">
        <v>0</v>
      </c>
      <c r="Y295" s="397">
        <v>0</v>
      </c>
      <c r="Z295" s="300">
        <f t="shared" si="134"/>
        <v>0</v>
      </c>
      <c r="AA295" s="302">
        <f t="shared" si="135"/>
        <v>0</v>
      </c>
      <c r="AB295" s="1054">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1055">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334">
        <f t="shared" si="136"/>
        <v>0</v>
      </c>
      <c r="AE295" s="1338">
        <f t="shared" si="129"/>
        <v>0</v>
      </c>
      <c r="AF295" s="1339">
        <f t="shared" si="130"/>
        <v>0</v>
      </c>
      <c r="AG295" s="1339">
        <f t="shared" si="131"/>
        <v>0</v>
      </c>
      <c r="AH295" s="1280">
        <f t="shared" si="137"/>
        <v>0</v>
      </c>
      <c r="AI295" s="1340">
        <f t="shared" si="138"/>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2"/>
        <v>0</v>
      </c>
      <c r="N296" s="316">
        <f t="shared" si="133"/>
        <v>0</v>
      </c>
      <c r="O296" s="362">
        <v>0</v>
      </c>
      <c r="P296" s="363">
        <v>0</v>
      </c>
      <c r="Q296" s="363">
        <v>0</v>
      </c>
      <c r="R296" s="363">
        <v>0</v>
      </c>
      <c r="S296" s="363">
        <v>0</v>
      </c>
      <c r="T296" s="363">
        <v>0</v>
      </c>
      <c r="U296" s="363">
        <v>0</v>
      </c>
      <c r="V296" s="363">
        <v>0</v>
      </c>
      <c r="W296" s="363">
        <v>0</v>
      </c>
      <c r="X296" s="363">
        <v>0</v>
      </c>
      <c r="Y296" s="398">
        <v>0</v>
      </c>
      <c r="Z296" s="314">
        <f t="shared" si="134"/>
        <v>0</v>
      </c>
      <c r="AA296" s="316">
        <f t="shared" si="135"/>
        <v>0</v>
      </c>
      <c r="AB296" s="1054">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1055">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334">
        <f t="shared" si="136"/>
        <v>0</v>
      </c>
      <c r="AE296" s="1338">
        <f t="shared" si="129"/>
        <v>0</v>
      </c>
      <c r="AF296" s="1339">
        <f t="shared" si="130"/>
        <v>0</v>
      </c>
      <c r="AG296" s="1339">
        <f t="shared" si="131"/>
        <v>0</v>
      </c>
      <c r="AH296" s="1280">
        <f t="shared" si="137"/>
        <v>0</v>
      </c>
      <c r="AI296" s="1340">
        <f t="shared" si="138"/>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2"/>
        <v>0</v>
      </c>
      <c r="N297" s="316">
        <f t="shared" si="133"/>
        <v>0</v>
      </c>
      <c r="O297" s="362">
        <v>0</v>
      </c>
      <c r="P297" s="363">
        <v>0</v>
      </c>
      <c r="Q297" s="363">
        <v>0</v>
      </c>
      <c r="R297" s="363">
        <v>0</v>
      </c>
      <c r="S297" s="363">
        <v>0</v>
      </c>
      <c r="T297" s="363">
        <v>0</v>
      </c>
      <c r="U297" s="363">
        <v>0</v>
      </c>
      <c r="V297" s="363">
        <v>0</v>
      </c>
      <c r="W297" s="363">
        <v>0</v>
      </c>
      <c r="X297" s="363">
        <v>0</v>
      </c>
      <c r="Y297" s="398">
        <v>0</v>
      </c>
      <c r="Z297" s="314">
        <f t="shared" si="134"/>
        <v>0</v>
      </c>
      <c r="AA297" s="316">
        <f t="shared" si="135"/>
        <v>0</v>
      </c>
      <c r="AB297" s="1054">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1055">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334">
        <f t="shared" si="136"/>
        <v>0</v>
      </c>
      <c r="AE297" s="1338">
        <f t="shared" si="129"/>
        <v>0</v>
      </c>
      <c r="AF297" s="1339">
        <f t="shared" si="130"/>
        <v>0</v>
      </c>
      <c r="AG297" s="1339">
        <f t="shared" si="131"/>
        <v>0</v>
      </c>
      <c r="AH297" s="1280">
        <f t="shared" si="137"/>
        <v>0</v>
      </c>
      <c r="AI297" s="1340">
        <f t="shared" si="138"/>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2"/>
        <v>0</v>
      </c>
      <c r="N298" s="316">
        <f t="shared" si="133"/>
        <v>0</v>
      </c>
      <c r="O298" s="362">
        <v>0</v>
      </c>
      <c r="P298" s="363">
        <v>0</v>
      </c>
      <c r="Q298" s="363">
        <v>0</v>
      </c>
      <c r="R298" s="363">
        <v>0</v>
      </c>
      <c r="S298" s="363">
        <v>0</v>
      </c>
      <c r="T298" s="363">
        <v>0</v>
      </c>
      <c r="U298" s="363">
        <v>0</v>
      </c>
      <c r="V298" s="363">
        <v>0</v>
      </c>
      <c r="W298" s="363">
        <v>0</v>
      </c>
      <c r="X298" s="363">
        <v>0</v>
      </c>
      <c r="Y298" s="398">
        <v>0</v>
      </c>
      <c r="Z298" s="314">
        <f t="shared" si="134"/>
        <v>0</v>
      </c>
      <c r="AA298" s="316">
        <f t="shared" si="135"/>
        <v>0</v>
      </c>
      <c r="AB298" s="1054">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1055">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334">
        <f t="shared" si="136"/>
        <v>0</v>
      </c>
      <c r="AE298" s="1338">
        <f t="shared" si="129"/>
        <v>0</v>
      </c>
      <c r="AF298" s="1339">
        <f t="shared" si="130"/>
        <v>0</v>
      </c>
      <c r="AG298" s="1339">
        <f t="shared" si="131"/>
        <v>0</v>
      </c>
      <c r="AH298" s="1280">
        <f t="shared" si="137"/>
        <v>0</v>
      </c>
      <c r="AI298" s="1340">
        <f t="shared" si="138"/>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2"/>
        <v>0</v>
      </c>
      <c r="N299" s="330">
        <f t="shared" si="133"/>
        <v>0</v>
      </c>
      <c r="O299" s="364">
        <v>0</v>
      </c>
      <c r="P299" s="365">
        <v>0</v>
      </c>
      <c r="Q299" s="365">
        <v>0</v>
      </c>
      <c r="R299" s="365">
        <v>0</v>
      </c>
      <c r="S299" s="365">
        <v>0</v>
      </c>
      <c r="T299" s="365">
        <v>0</v>
      </c>
      <c r="U299" s="365">
        <v>0</v>
      </c>
      <c r="V299" s="365">
        <v>0</v>
      </c>
      <c r="W299" s="365">
        <v>0</v>
      </c>
      <c r="X299" s="365">
        <v>0</v>
      </c>
      <c r="Y299" s="399">
        <v>0</v>
      </c>
      <c r="Z299" s="328">
        <f t="shared" si="134"/>
        <v>0</v>
      </c>
      <c r="AA299" s="330">
        <f t="shared" si="135"/>
        <v>0</v>
      </c>
      <c r="AB299" s="1054">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1055">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334">
        <f t="shared" si="136"/>
        <v>0</v>
      </c>
      <c r="AE299" s="1338">
        <f t="shared" si="129"/>
        <v>0</v>
      </c>
      <c r="AF299" s="1339">
        <f t="shared" si="130"/>
        <v>0</v>
      </c>
      <c r="AG299" s="1339">
        <f t="shared" si="131"/>
        <v>0</v>
      </c>
      <c r="AH299" s="1280">
        <f t="shared" si="137"/>
        <v>0</v>
      </c>
      <c r="AI299" s="1340">
        <f t="shared" si="138"/>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2"/>
        <v>0</v>
      </c>
      <c r="N300" s="302">
        <f t="shared" si="133"/>
        <v>0</v>
      </c>
      <c r="O300" s="360">
        <v>0</v>
      </c>
      <c r="P300" s="361">
        <v>0</v>
      </c>
      <c r="Q300" s="361">
        <v>0</v>
      </c>
      <c r="R300" s="361">
        <v>0</v>
      </c>
      <c r="S300" s="361">
        <v>0</v>
      </c>
      <c r="T300" s="361">
        <v>0</v>
      </c>
      <c r="U300" s="361">
        <v>0</v>
      </c>
      <c r="V300" s="361">
        <v>0</v>
      </c>
      <c r="W300" s="361">
        <v>0</v>
      </c>
      <c r="X300" s="361">
        <v>0</v>
      </c>
      <c r="Y300" s="397">
        <v>0</v>
      </c>
      <c r="Z300" s="300">
        <f t="shared" si="134"/>
        <v>0</v>
      </c>
      <c r="AA300" s="302">
        <f t="shared" si="135"/>
        <v>0</v>
      </c>
      <c r="AB300" s="1054">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1055">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334">
        <f t="shared" si="136"/>
        <v>0</v>
      </c>
      <c r="AE300" s="1338">
        <f t="shared" si="129"/>
        <v>0</v>
      </c>
      <c r="AF300" s="1339">
        <f t="shared" si="130"/>
        <v>0</v>
      </c>
      <c r="AG300" s="1339">
        <f t="shared" si="131"/>
        <v>0</v>
      </c>
      <c r="AH300" s="1280">
        <f t="shared" si="137"/>
        <v>0</v>
      </c>
      <c r="AI300" s="1340">
        <f t="shared" si="138"/>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2"/>
        <v>0</v>
      </c>
      <c r="N301" s="316">
        <f t="shared" si="133"/>
        <v>0</v>
      </c>
      <c r="O301" s="362">
        <v>0</v>
      </c>
      <c r="P301" s="363">
        <v>0</v>
      </c>
      <c r="Q301" s="363">
        <v>0</v>
      </c>
      <c r="R301" s="363">
        <v>0</v>
      </c>
      <c r="S301" s="363">
        <v>0</v>
      </c>
      <c r="T301" s="363">
        <v>0</v>
      </c>
      <c r="U301" s="363">
        <v>0</v>
      </c>
      <c r="V301" s="363">
        <v>0</v>
      </c>
      <c r="W301" s="363">
        <v>0</v>
      </c>
      <c r="X301" s="363">
        <v>0</v>
      </c>
      <c r="Y301" s="398">
        <v>0</v>
      </c>
      <c r="Z301" s="314">
        <f t="shared" si="134"/>
        <v>0</v>
      </c>
      <c r="AA301" s="316">
        <f t="shared" si="135"/>
        <v>0</v>
      </c>
      <c r="AB301" s="1054">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1055">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334">
        <f t="shared" si="136"/>
        <v>0</v>
      </c>
      <c r="AE301" s="1338">
        <f>SUMPRODUCT($B$74:$L$74,B301:L301)</f>
        <v>0</v>
      </c>
      <c r="AF301" s="1339">
        <f>SUMPRODUCT($O$74:$Y$74,O301:Y301)</f>
        <v>0</v>
      </c>
      <c r="AG301" s="1339">
        <f>SUM(AE301:AF301)</f>
        <v>0</v>
      </c>
      <c r="AH301" s="1280">
        <f t="shared" si="137"/>
        <v>0</v>
      </c>
      <c r="AI301" s="1340">
        <f t="shared" si="138"/>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2"/>
        <v>0</v>
      </c>
      <c r="N302" s="316">
        <f t="shared" si="133"/>
        <v>0</v>
      </c>
      <c r="O302" s="362">
        <v>0</v>
      </c>
      <c r="P302" s="363">
        <v>0</v>
      </c>
      <c r="Q302" s="363">
        <v>0</v>
      </c>
      <c r="R302" s="363">
        <v>0</v>
      </c>
      <c r="S302" s="363">
        <v>0</v>
      </c>
      <c r="T302" s="363">
        <v>0</v>
      </c>
      <c r="U302" s="363">
        <v>0</v>
      </c>
      <c r="V302" s="363">
        <v>0</v>
      </c>
      <c r="W302" s="363">
        <v>0</v>
      </c>
      <c r="X302" s="363">
        <v>0</v>
      </c>
      <c r="Y302" s="398">
        <v>0</v>
      </c>
      <c r="Z302" s="314">
        <f t="shared" si="134"/>
        <v>0</v>
      </c>
      <c r="AA302" s="316">
        <f t="shared" si="135"/>
        <v>0</v>
      </c>
      <c r="AB302" s="1054">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1055">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334">
        <f t="shared" si="136"/>
        <v>0</v>
      </c>
      <c r="AE302" s="1338">
        <f t="shared" ref="AE302:AE329" si="139">SUMPRODUCT($B$74:$L$74,B302:L302)</f>
        <v>0</v>
      </c>
      <c r="AF302" s="1339">
        <f t="shared" ref="AF302:AF329" si="140">SUMPRODUCT($O$74:$Y$74,O302:Y302)</f>
        <v>0</v>
      </c>
      <c r="AG302" s="1339">
        <f t="shared" ref="AG302:AG329" si="141">SUM(AE302:AF302)</f>
        <v>0</v>
      </c>
      <c r="AH302" s="1280">
        <f t="shared" si="137"/>
        <v>0</v>
      </c>
      <c r="AI302" s="1340">
        <f t="shared" si="138"/>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2"/>
        <v>0</v>
      </c>
      <c r="N303" s="316">
        <f t="shared" si="133"/>
        <v>0</v>
      </c>
      <c r="O303" s="362">
        <v>0</v>
      </c>
      <c r="P303" s="363">
        <v>0</v>
      </c>
      <c r="Q303" s="363">
        <v>0</v>
      </c>
      <c r="R303" s="363">
        <v>0</v>
      </c>
      <c r="S303" s="363">
        <v>0</v>
      </c>
      <c r="T303" s="363">
        <v>0</v>
      </c>
      <c r="U303" s="363">
        <v>0</v>
      </c>
      <c r="V303" s="363">
        <v>0</v>
      </c>
      <c r="W303" s="363">
        <v>0</v>
      </c>
      <c r="X303" s="363">
        <v>0</v>
      </c>
      <c r="Y303" s="398">
        <v>0</v>
      </c>
      <c r="Z303" s="314">
        <f t="shared" si="134"/>
        <v>0</v>
      </c>
      <c r="AA303" s="316">
        <f t="shared" si="135"/>
        <v>0</v>
      </c>
      <c r="AB303" s="1054">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1055">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334">
        <f t="shared" si="136"/>
        <v>0</v>
      </c>
      <c r="AE303" s="1338">
        <f t="shared" si="139"/>
        <v>0</v>
      </c>
      <c r="AF303" s="1339">
        <f t="shared" si="140"/>
        <v>0</v>
      </c>
      <c r="AG303" s="1339">
        <f t="shared" si="141"/>
        <v>0</v>
      </c>
      <c r="AH303" s="1280">
        <f t="shared" si="137"/>
        <v>0</v>
      </c>
      <c r="AI303" s="1340">
        <f t="shared" si="138"/>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2"/>
        <v>0</v>
      </c>
      <c r="N304" s="330">
        <f t="shared" si="133"/>
        <v>0</v>
      </c>
      <c r="O304" s="364">
        <v>0</v>
      </c>
      <c r="P304" s="365">
        <v>0</v>
      </c>
      <c r="Q304" s="365">
        <v>0</v>
      </c>
      <c r="R304" s="365">
        <v>0</v>
      </c>
      <c r="S304" s="365">
        <v>0</v>
      </c>
      <c r="T304" s="365">
        <v>0</v>
      </c>
      <c r="U304" s="365">
        <v>0</v>
      </c>
      <c r="V304" s="365">
        <v>0</v>
      </c>
      <c r="W304" s="365">
        <v>0</v>
      </c>
      <c r="X304" s="365">
        <v>0</v>
      </c>
      <c r="Y304" s="399">
        <v>0</v>
      </c>
      <c r="Z304" s="328">
        <f t="shared" si="134"/>
        <v>0</v>
      </c>
      <c r="AA304" s="330">
        <f t="shared" si="135"/>
        <v>0</v>
      </c>
      <c r="AB304" s="1054">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1055">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334">
        <f t="shared" si="136"/>
        <v>0</v>
      </c>
      <c r="AE304" s="1338">
        <f t="shared" si="139"/>
        <v>0</v>
      </c>
      <c r="AF304" s="1339">
        <f t="shared" si="140"/>
        <v>0</v>
      </c>
      <c r="AG304" s="1339">
        <f t="shared" si="141"/>
        <v>0</v>
      </c>
      <c r="AH304" s="1280">
        <f t="shared" si="137"/>
        <v>0</v>
      </c>
      <c r="AI304" s="1340">
        <f t="shared" si="138"/>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2"/>
        <v>0</v>
      </c>
      <c r="N305" s="302">
        <f t="shared" si="133"/>
        <v>0</v>
      </c>
      <c r="O305" s="360">
        <v>0</v>
      </c>
      <c r="P305" s="361">
        <v>0</v>
      </c>
      <c r="Q305" s="361">
        <v>0</v>
      </c>
      <c r="R305" s="361">
        <v>0</v>
      </c>
      <c r="S305" s="361">
        <v>0</v>
      </c>
      <c r="T305" s="361">
        <v>0</v>
      </c>
      <c r="U305" s="361">
        <v>0</v>
      </c>
      <c r="V305" s="361">
        <v>0</v>
      </c>
      <c r="W305" s="361">
        <v>0</v>
      </c>
      <c r="X305" s="361">
        <v>0</v>
      </c>
      <c r="Y305" s="397">
        <v>0</v>
      </c>
      <c r="Z305" s="300">
        <f t="shared" si="134"/>
        <v>0</v>
      </c>
      <c r="AA305" s="302">
        <f t="shared" si="135"/>
        <v>0</v>
      </c>
      <c r="AB305" s="1054">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1055">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334">
        <f t="shared" si="136"/>
        <v>0</v>
      </c>
      <c r="AE305" s="1338">
        <f t="shared" si="139"/>
        <v>0</v>
      </c>
      <c r="AF305" s="1339">
        <f t="shared" si="140"/>
        <v>0</v>
      </c>
      <c r="AG305" s="1339">
        <f t="shared" si="141"/>
        <v>0</v>
      </c>
      <c r="AH305" s="1280">
        <f t="shared" si="137"/>
        <v>0</v>
      </c>
      <c r="AI305" s="1340">
        <f t="shared" si="138"/>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2"/>
        <v>0</v>
      </c>
      <c r="N306" s="316">
        <f t="shared" si="133"/>
        <v>0</v>
      </c>
      <c r="O306" s="362">
        <v>0</v>
      </c>
      <c r="P306" s="363">
        <v>0</v>
      </c>
      <c r="Q306" s="363">
        <v>0</v>
      </c>
      <c r="R306" s="363">
        <v>0</v>
      </c>
      <c r="S306" s="363">
        <v>0</v>
      </c>
      <c r="T306" s="363">
        <v>0</v>
      </c>
      <c r="U306" s="363">
        <v>0</v>
      </c>
      <c r="V306" s="363">
        <v>0</v>
      </c>
      <c r="W306" s="363">
        <v>0</v>
      </c>
      <c r="X306" s="363">
        <v>0</v>
      </c>
      <c r="Y306" s="398">
        <v>0</v>
      </c>
      <c r="Z306" s="314">
        <f t="shared" si="134"/>
        <v>0</v>
      </c>
      <c r="AA306" s="316">
        <f t="shared" si="135"/>
        <v>0</v>
      </c>
      <c r="AB306" s="1054">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1055">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334">
        <f t="shared" si="136"/>
        <v>0</v>
      </c>
      <c r="AE306" s="1338">
        <f t="shared" si="139"/>
        <v>0</v>
      </c>
      <c r="AF306" s="1339">
        <f t="shared" si="140"/>
        <v>0</v>
      </c>
      <c r="AG306" s="1339">
        <f t="shared" si="141"/>
        <v>0</v>
      </c>
      <c r="AH306" s="1280">
        <f t="shared" si="137"/>
        <v>0</v>
      </c>
      <c r="AI306" s="1340">
        <f t="shared" si="138"/>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2"/>
        <v>0</v>
      </c>
      <c r="N307" s="316">
        <f t="shared" si="133"/>
        <v>0</v>
      </c>
      <c r="O307" s="362">
        <v>0</v>
      </c>
      <c r="P307" s="363">
        <v>0</v>
      </c>
      <c r="Q307" s="363">
        <v>0</v>
      </c>
      <c r="R307" s="363">
        <v>0</v>
      </c>
      <c r="S307" s="363">
        <v>0</v>
      </c>
      <c r="T307" s="363">
        <v>0</v>
      </c>
      <c r="U307" s="363">
        <v>0</v>
      </c>
      <c r="V307" s="363">
        <v>0</v>
      </c>
      <c r="W307" s="363">
        <v>0</v>
      </c>
      <c r="X307" s="363">
        <v>0</v>
      </c>
      <c r="Y307" s="398">
        <v>0</v>
      </c>
      <c r="Z307" s="314">
        <f t="shared" si="134"/>
        <v>0</v>
      </c>
      <c r="AA307" s="316">
        <f t="shared" si="135"/>
        <v>0</v>
      </c>
      <c r="AB307" s="1054">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1055">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334">
        <f t="shared" si="136"/>
        <v>0</v>
      </c>
      <c r="AE307" s="1338">
        <f t="shared" si="139"/>
        <v>0</v>
      </c>
      <c r="AF307" s="1339">
        <f t="shared" si="140"/>
        <v>0</v>
      </c>
      <c r="AG307" s="1339">
        <f t="shared" si="141"/>
        <v>0</v>
      </c>
      <c r="AH307" s="1280">
        <f t="shared" si="137"/>
        <v>0</v>
      </c>
      <c r="AI307" s="1340">
        <f t="shared" si="138"/>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2"/>
        <v>0</v>
      </c>
      <c r="N308" s="316">
        <f t="shared" si="133"/>
        <v>0</v>
      </c>
      <c r="O308" s="362">
        <v>0</v>
      </c>
      <c r="P308" s="363">
        <v>0</v>
      </c>
      <c r="Q308" s="363">
        <v>0</v>
      </c>
      <c r="R308" s="363">
        <v>0</v>
      </c>
      <c r="S308" s="363">
        <v>0</v>
      </c>
      <c r="T308" s="363">
        <v>0</v>
      </c>
      <c r="U308" s="363">
        <v>0</v>
      </c>
      <c r="V308" s="363">
        <v>0</v>
      </c>
      <c r="W308" s="363">
        <v>0</v>
      </c>
      <c r="X308" s="363">
        <v>0</v>
      </c>
      <c r="Y308" s="398">
        <v>0</v>
      </c>
      <c r="Z308" s="314">
        <f t="shared" si="134"/>
        <v>0</v>
      </c>
      <c r="AA308" s="316">
        <f t="shared" si="135"/>
        <v>0</v>
      </c>
      <c r="AB308" s="1054">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1055">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334">
        <f t="shared" si="136"/>
        <v>0</v>
      </c>
      <c r="AE308" s="1338">
        <f t="shared" si="139"/>
        <v>0</v>
      </c>
      <c r="AF308" s="1339">
        <f t="shared" si="140"/>
        <v>0</v>
      </c>
      <c r="AG308" s="1339">
        <f t="shared" si="141"/>
        <v>0</v>
      </c>
      <c r="AH308" s="1280">
        <f t="shared" si="137"/>
        <v>0</v>
      </c>
      <c r="AI308" s="1340">
        <f t="shared" si="138"/>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2"/>
        <v>0</v>
      </c>
      <c r="N309" s="330">
        <f t="shared" si="133"/>
        <v>0</v>
      </c>
      <c r="O309" s="364">
        <v>0</v>
      </c>
      <c r="P309" s="365">
        <v>0</v>
      </c>
      <c r="Q309" s="365">
        <v>0</v>
      </c>
      <c r="R309" s="365">
        <v>0</v>
      </c>
      <c r="S309" s="365">
        <v>0</v>
      </c>
      <c r="T309" s="365">
        <v>0</v>
      </c>
      <c r="U309" s="365">
        <v>0</v>
      </c>
      <c r="V309" s="365">
        <v>0</v>
      </c>
      <c r="W309" s="365">
        <v>0</v>
      </c>
      <c r="X309" s="365">
        <v>0</v>
      </c>
      <c r="Y309" s="399">
        <v>0</v>
      </c>
      <c r="Z309" s="328">
        <f t="shared" si="134"/>
        <v>0</v>
      </c>
      <c r="AA309" s="330">
        <f t="shared" si="135"/>
        <v>0</v>
      </c>
      <c r="AB309" s="1054">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1055">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334">
        <f t="shared" si="136"/>
        <v>0</v>
      </c>
      <c r="AE309" s="1338">
        <f t="shared" si="139"/>
        <v>0</v>
      </c>
      <c r="AF309" s="1339">
        <f t="shared" si="140"/>
        <v>0</v>
      </c>
      <c r="AG309" s="1339">
        <f t="shared" si="141"/>
        <v>0</v>
      </c>
      <c r="AH309" s="1280">
        <f t="shared" si="137"/>
        <v>0</v>
      </c>
      <c r="AI309" s="1340">
        <f t="shared" si="138"/>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2"/>
        <v>0</v>
      </c>
      <c r="N310" s="302">
        <f t="shared" si="133"/>
        <v>0</v>
      </c>
      <c r="O310" s="360">
        <v>0</v>
      </c>
      <c r="P310" s="361">
        <v>0</v>
      </c>
      <c r="Q310" s="361">
        <v>0</v>
      </c>
      <c r="R310" s="361">
        <v>0</v>
      </c>
      <c r="S310" s="361">
        <v>0</v>
      </c>
      <c r="T310" s="361">
        <v>0</v>
      </c>
      <c r="U310" s="361">
        <v>0</v>
      </c>
      <c r="V310" s="361">
        <v>0</v>
      </c>
      <c r="W310" s="361">
        <v>0</v>
      </c>
      <c r="X310" s="361">
        <v>0</v>
      </c>
      <c r="Y310" s="397">
        <v>0</v>
      </c>
      <c r="Z310" s="300">
        <f t="shared" si="134"/>
        <v>0</v>
      </c>
      <c r="AA310" s="302">
        <f t="shared" si="135"/>
        <v>0</v>
      </c>
      <c r="AB310" s="1054">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1055">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334">
        <f t="shared" si="136"/>
        <v>0</v>
      </c>
      <c r="AE310" s="1338">
        <f t="shared" si="139"/>
        <v>0</v>
      </c>
      <c r="AF310" s="1339">
        <f t="shared" si="140"/>
        <v>0</v>
      </c>
      <c r="AG310" s="1339">
        <f t="shared" si="141"/>
        <v>0</v>
      </c>
      <c r="AH310" s="1280">
        <f t="shared" si="137"/>
        <v>0</v>
      </c>
      <c r="AI310" s="1340">
        <f t="shared" si="138"/>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2"/>
        <v>0</v>
      </c>
      <c r="N311" s="316">
        <f t="shared" si="133"/>
        <v>0</v>
      </c>
      <c r="O311" s="362">
        <v>0</v>
      </c>
      <c r="P311" s="363">
        <v>0</v>
      </c>
      <c r="Q311" s="363">
        <v>0</v>
      </c>
      <c r="R311" s="363">
        <v>0</v>
      </c>
      <c r="S311" s="363">
        <v>0</v>
      </c>
      <c r="T311" s="363">
        <v>0</v>
      </c>
      <c r="U311" s="363">
        <v>0</v>
      </c>
      <c r="V311" s="363">
        <v>0</v>
      </c>
      <c r="W311" s="363">
        <v>0</v>
      </c>
      <c r="X311" s="363">
        <v>0</v>
      </c>
      <c r="Y311" s="398">
        <v>0</v>
      </c>
      <c r="Z311" s="314">
        <f t="shared" si="134"/>
        <v>0</v>
      </c>
      <c r="AA311" s="316">
        <f t="shared" si="135"/>
        <v>0</v>
      </c>
      <c r="AB311" s="1054">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1055">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334">
        <f t="shared" si="136"/>
        <v>0</v>
      </c>
      <c r="AE311" s="1338">
        <f t="shared" si="139"/>
        <v>0</v>
      </c>
      <c r="AF311" s="1339">
        <f t="shared" si="140"/>
        <v>0</v>
      </c>
      <c r="AG311" s="1339">
        <f t="shared" si="141"/>
        <v>0</v>
      </c>
      <c r="AH311" s="1280">
        <f t="shared" si="137"/>
        <v>0</v>
      </c>
      <c r="AI311" s="1340">
        <f t="shared" si="138"/>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2"/>
        <v>0</v>
      </c>
      <c r="N312" s="316">
        <f t="shared" si="133"/>
        <v>0</v>
      </c>
      <c r="O312" s="362">
        <v>0</v>
      </c>
      <c r="P312" s="363">
        <v>0</v>
      </c>
      <c r="Q312" s="363">
        <v>0</v>
      </c>
      <c r="R312" s="363">
        <v>0</v>
      </c>
      <c r="S312" s="363">
        <v>0</v>
      </c>
      <c r="T312" s="363">
        <v>0</v>
      </c>
      <c r="U312" s="363">
        <v>0</v>
      </c>
      <c r="V312" s="363">
        <v>0</v>
      </c>
      <c r="W312" s="363">
        <v>0</v>
      </c>
      <c r="X312" s="363">
        <v>0</v>
      </c>
      <c r="Y312" s="398">
        <v>0</v>
      </c>
      <c r="Z312" s="314">
        <f t="shared" si="134"/>
        <v>0</v>
      </c>
      <c r="AA312" s="316">
        <f t="shared" si="135"/>
        <v>0</v>
      </c>
      <c r="AB312" s="1054">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1055">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334">
        <f>AB312*AH312+AC312*AI312</f>
        <v>0</v>
      </c>
      <c r="AE312" s="1338">
        <f t="shared" si="139"/>
        <v>0</v>
      </c>
      <c r="AF312" s="1339">
        <f t="shared" si="140"/>
        <v>0</v>
      </c>
      <c r="AG312" s="1339">
        <f t="shared" si="141"/>
        <v>0</v>
      </c>
      <c r="AH312" s="1280">
        <f t="shared" si="137"/>
        <v>0</v>
      </c>
      <c r="AI312" s="1340">
        <f t="shared" si="138"/>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2"/>
        <v>0</v>
      </c>
      <c r="N313" s="316">
        <f t="shared" si="133"/>
        <v>0</v>
      </c>
      <c r="O313" s="362">
        <v>0</v>
      </c>
      <c r="P313" s="363">
        <v>0</v>
      </c>
      <c r="Q313" s="363">
        <v>0</v>
      </c>
      <c r="R313" s="363">
        <v>0</v>
      </c>
      <c r="S313" s="363">
        <v>0</v>
      </c>
      <c r="T313" s="363">
        <v>0</v>
      </c>
      <c r="U313" s="363">
        <v>0</v>
      </c>
      <c r="V313" s="363">
        <v>0</v>
      </c>
      <c r="W313" s="363">
        <v>0</v>
      </c>
      <c r="X313" s="363">
        <v>0</v>
      </c>
      <c r="Y313" s="398">
        <v>0</v>
      </c>
      <c r="Z313" s="314">
        <f t="shared" si="134"/>
        <v>0</v>
      </c>
      <c r="AA313" s="316">
        <f t="shared" si="135"/>
        <v>0</v>
      </c>
      <c r="AB313" s="1054">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1055">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334">
        <f t="shared" ref="AD313:AD329" si="142">AB313*AH313+AC313*AI313</f>
        <v>0</v>
      </c>
      <c r="AE313" s="1338">
        <f t="shared" si="139"/>
        <v>0</v>
      </c>
      <c r="AF313" s="1339">
        <f t="shared" si="140"/>
        <v>0</v>
      </c>
      <c r="AG313" s="1339">
        <f t="shared" si="141"/>
        <v>0</v>
      </c>
      <c r="AH313" s="1280">
        <f t="shared" si="137"/>
        <v>0</v>
      </c>
      <c r="AI313" s="1340">
        <f t="shared" si="138"/>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2"/>
        <v>0</v>
      </c>
      <c r="N314" s="330">
        <f t="shared" si="133"/>
        <v>0</v>
      </c>
      <c r="O314" s="364">
        <v>0</v>
      </c>
      <c r="P314" s="365">
        <v>0</v>
      </c>
      <c r="Q314" s="365">
        <v>0</v>
      </c>
      <c r="R314" s="365">
        <v>2.8777745129623055E-4</v>
      </c>
      <c r="S314" s="365">
        <v>0</v>
      </c>
      <c r="T314" s="365">
        <v>0</v>
      </c>
      <c r="U314" s="365">
        <v>0</v>
      </c>
      <c r="V314" s="365">
        <v>0</v>
      </c>
      <c r="W314" s="365">
        <v>0</v>
      </c>
      <c r="X314" s="365">
        <v>0</v>
      </c>
      <c r="Y314" s="399">
        <v>0</v>
      </c>
      <c r="Z314" s="328">
        <f t="shared" si="134"/>
        <v>1.7221436243822235E-5</v>
      </c>
      <c r="AA314" s="330">
        <f t="shared" si="135"/>
        <v>6.5554256123334041E-6</v>
      </c>
      <c r="AB314" s="1054">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1055">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334">
        <f t="shared" si="142"/>
        <v>0</v>
      </c>
      <c r="AE314" s="1338">
        <f t="shared" si="139"/>
        <v>0</v>
      </c>
      <c r="AF314" s="1339">
        <f t="shared" si="140"/>
        <v>1.7221436243822235E-5</v>
      </c>
      <c r="AG314" s="1339">
        <f t="shared" si="141"/>
        <v>1.7221436243822235E-5</v>
      </c>
      <c r="AH314" s="1280">
        <f t="shared" si="137"/>
        <v>0</v>
      </c>
      <c r="AI314" s="1340">
        <f t="shared" si="138"/>
        <v>1</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2"/>
        <v>0</v>
      </c>
      <c r="N315" s="302">
        <f t="shared" si="133"/>
        <v>0</v>
      </c>
      <c r="O315" s="360">
        <v>0</v>
      </c>
      <c r="P315" s="361">
        <v>0</v>
      </c>
      <c r="Q315" s="361">
        <v>0</v>
      </c>
      <c r="R315" s="361">
        <v>1.3730366227351497E-3</v>
      </c>
      <c r="S315" s="361">
        <v>0</v>
      </c>
      <c r="T315" s="361">
        <v>0</v>
      </c>
      <c r="U315" s="361">
        <v>0</v>
      </c>
      <c r="V315" s="361">
        <v>0</v>
      </c>
      <c r="W315" s="361">
        <v>0</v>
      </c>
      <c r="X315" s="361">
        <v>0</v>
      </c>
      <c r="Y315" s="397">
        <v>0</v>
      </c>
      <c r="Z315" s="300">
        <f t="shared" si="134"/>
        <v>8.2166488556902805E-5</v>
      </c>
      <c r="AA315" s="302">
        <f t="shared" si="135"/>
        <v>3.1277083742341334E-5</v>
      </c>
      <c r="AB315" s="1054">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1055">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334">
        <f t="shared" si="142"/>
        <v>0</v>
      </c>
      <c r="AE315" s="1338">
        <f t="shared" si="139"/>
        <v>0</v>
      </c>
      <c r="AF315" s="1339">
        <f t="shared" si="140"/>
        <v>8.2166488556902805E-5</v>
      </c>
      <c r="AG315" s="1339">
        <f t="shared" si="141"/>
        <v>8.2166488556902805E-5</v>
      </c>
      <c r="AH315" s="1280">
        <f t="shared" si="137"/>
        <v>0</v>
      </c>
      <c r="AI315" s="1340">
        <f t="shared" si="138"/>
        <v>1</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2"/>
        <v>0</v>
      </c>
      <c r="N316" s="316">
        <f t="shared" si="133"/>
        <v>0</v>
      </c>
      <c r="O316" s="362">
        <v>0</v>
      </c>
      <c r="P316" s="363">
        <v>0</v>
      </c>
      <c r="Q316" s="363">
        <v>0</v>
      </c>
      <c r="R316" s="363">
        <v>2.0448936048727603E-3</v>
      </c>
      <c r="S316" s="363">
        <v>0</v>
      </c>
      <c r="T316" s="363">
        <v>0</v>
      </c>
      <c r="U316" s="363">
        <v>0</v>
      </c>
      <c r="V316" s="363">
        <v>0</v>
      </c>
      <c r="W316" s="363">
        <v>0</v>
      </c>
      <c r="X316" s="363">
        <v>0</v>
      </c>
      <c r="Y316" s="398">
        <v>0</v>
      </c>
      <c r="Z316" s="314">
        <f t="shared" si="134"/>
        <v>1.2237235642713934E-4</v>
      </c>
      <c r="AA316" s="316">
        <f t="shared" si="135"/>
        <v>4.6581647907086258E-5</v>
      </c>
      <c r="AB316" s="1054">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1055">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334">
        <f t="shared" si="142"/>
        <v>0</v>
      </c>
      <c r="AE316" s="1338">
        <f t="shared" si="139"/>
        <v>0</v>
      </c>
      <c r="AF316" s="1339">
        <f t="shared" si="140"/>
        <v>1.2237235642713934E-4</v>
      </c>
      <c r="AG316" s="1339">
        <f t="shared" si="141"/>
        <v>1.2237235642713934E-4</v>
      </c>
      <c r="AH316" s="1280">
        <f t="shared" si="137"/>
        <v>0</v>
      </c>
      <c r="AI316" s="1340">
        <f t="shared" si="138"/>
        <v>1</v>
      </c>
    </row>
    <row r="317" spans="1:35" x14ac:dyDescent="0.2">
      <c r="A317" s="348">
        <v>2038</v>
      </c>
      <c r="B317" s="362">
        <v>0</v>
      </c>
      <c r="C317" s="363">
        <v>0</v>
      </c>
      <c r="D317" s="363">
        <v>0</v>
      </c>
      <c r="E317" s="363">
        <v>2.4142434883573372E-4</v>
      </c>
      <c r="F317" s="363">
        <v>0</v>
      </c>
      <c r="G317" s="363">
        <v>0</v>
      </c>
      <c r="H317" s="363">
        <v>0</v>
      </c>
      <c r="I317" s="363">
        <v>0</v>
      </c>
      <c r="J317" s="363">
        <v>0</v>
      </c>
      <c r="K317" s="363">
        <v>0</v>
      </c>
      <c r="L317" s="398">
        <v>0</v>
      </c>
      <c r="M317" s="314">
        <f t="shared" si="132"/>
        <v>1.0950104991384671E-5</v>
      </c>
      <c r="N317" s="316">
        <f t="shared" si="133"/>
        <v>4.2232928924182987E-6</v>
      </c>
      <c r="O317" s="362">
        <v>0</v>
      </c>
      <c r="P317" s="363">
        <v>0</v>
      </c>
      <c r="Q317" s="363">
        <v>0</v>
      </c>
      <c r="R317" s="363">
        <v>6.5298716159160634E-3</v>
      </c>
      <c r="S317" s="363">
        <v>0</v>
      </c>
      <c r="T317" s="363">
        <v>0</v>
      </c>
      <c r="U317" s="363">
        <v>0</v>
      </c>
      <c r="V317" s="363">
        <v>0</v>
      </c>
      <c r="W317" s="363">
        <v>0</v>
      </c>
      <c r="X317" s="363">
        <v>0</v>
      </c>
      <c r="Y317" s="398">
        <v>0</v>
      </c>
      <c r="Z317" s="314">
        <f t="shared" si="134"/>
        <v>3.9076643151615795E-4</v>
      </c>
      <c r="AA317" s="316">
        <f t="shared" si="135"/>
        <v>1.487471914266195E-4</v>
      </c>
      <c r="AB317" s="1054">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1055">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334">
        <f t="shared" si="142"/>
        <v>0</v>
      </c>
      <c r="AE317" s="1338">
        <f t="shared" si="139"/>
        <v>1.0950104991384671E-5</v>
      </c>
      <c r="AF317" s="1339">
        <f t="shared" si="140"/>
        <v>3.9076643151615795E-4</v>
      </c>
      <c r="AG317" s="1339">
        <f t="shared" si="141"/>
        <v>4.0171653650754264E-4</v>
      </c>
      <c r="AH317" s="1280">
        <f t="shared" si="137"/>
        <v>2.7258287862837509E-2</v>
      </c>
      <c r="AI317" s="1340">
        <f t="shared" si="138"/>
        <v>0.97274171213716243</v>
      </c>
    </row>
    <row r="318" spans="1:35" x14ac:dyDescent="0.2">
      <c r="A318" s="348">
        <v>2039</v>
      </c>
      <c r="B318" s="362">
        <v>0</v>
      </c>
      <c r="C318" s="363">
        <v>0</v>
      </c>
      <c r="D318" s="363">
        <v>0</v>
      </c>
      <c r="E318" s="363">
        <v>2.3890826870893067E-3</v>
      </c>
      <c r="F318" s="363">
        <v>0</v>
      </c>
      <c r="G318" s="363">
        <v>0</v>
      </c>
      <c r="H318" s="363">
        <v>0</v>
      </c>
      <c r="I318" s="363">
        <v>0</v>
      </c>
      <c r="J318" s="363">
        <v>0</v>
      </c>
      <c r="K318" s="363">
        <v>0</v>
      </c>
      <c r="L318" s="398">
        <v>0</v>
      </c>
      <c r="M318" s="314">
        <f t="shared" si="132"/>
        <v>1.0835985012649734E-4</v>
      </c>
      <c r="N318" s="316">
        <f t="shared" si="133"/>
        <v>4.1792785112362562E-5</v>
      </c>
      <c r="O318" s="362">
        <v>0</v>
      </c>
      <c r="P318" s="363">
        <v>0</v>
      </c>
      <c r="Q318" s="363">
        <v>3.6265690483596987E-4</v>
      </c>
      <c r="R318" s="363">
        <v>1.5738738779066994E-2</v>
      </c>
      <c r="S318" s="363">
        <v>0</v>
      </c>
      <c r="T318" s="363">
        <v>0</v>
      </c>
      <c r="U318" s="363">
        <v>0</v>
      </c>
      <c r="V318" s="363">
        <v>0</v>
      </c>
      <c r="W318" s="363">
        <v>0</v>
      </c>
      <c r="X318" s="363">
        <v>0</v>
      </c>
      <c r="Y318" s="398">
        <v>0</v>
      </c>
      <c r="Z318" s="314">
        <f t="shared" si="134"/>
        <v>9.7225545909991942E-4</v>
      </c>
      <c r="AA318" s="316">
        <f t="shared" si="135"/>
        <v>3.7541025696451614E-4</v>
      </c>
      <c r="AB318" s="1054">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1055">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334">
        <f t="shared" si="142"/>
        <v>0</v>
      </c>
      <c r="AE318" s="1338">
        <f t="shared" si="139"/>
        <v>1.0835985012649734E-4</v>
      </c>
      <c r="AF318" s="1339">
        <f t="shared" si="140"/>
        <v>9.7225545909991942E-4</v>
      </c>
      <c r="AG318" s="1339">
        <f t="shared" si="141"/>
        <v>1.0806153092264167E-3</v>
      </c>
      <c r="AH318" s="1280">
        <f t="shared" si="137"/>
        <v>0.10027606420278205</v>
      </c>
      <c r="AI318" s="1340">
        <f t="shared" si="138"/>
        <v>0.8997239357972181</v>
      </c>
    </row>
    <row r="319" spans="1:35" ht="13.5" thickBot="1" x14ac:dyDescent="0.25">
      <c r="A319" s="346">
        <v>2040</v>
      </c>
      <c r="B319" s="364">
        <v>0</v>
      </c>
      <c r="C319" s="365">
        <v>0</v>
      </c>
      <c r="D319" s="365">
        <v>1.1290180824020211E-4</v>
      </c>
      <c r="E319" s="365">
        <v>1.2066044885049703E-2</v>
      </c>
      <c r="F319" s="365">
        <v>0</v>
      </c>
      <c r="G319" s="365">
        <v>0</v>
      </c>
      <c r="H319" s="365">
        <v>0</v>
      </c>
      <c r="I319" s="365">
        <v>0</v>
      </c>
      <c r="J319" s="365">
        <v>0</v>
      </c>
      <c r="K319" s="365">
        <v>0</v>
      </c>
      <c r="L319" s="399">
        <v>0</v>
      </c>
      <c r="M319" s="328">
        <f t="shared" si="132"/>
        <v>5.5732207503304224E-4</v>
      </c>
      <c r="N319" s="330">
        <f t="shared" si="133"/>
        <v>2.1681439908327393E-4</v>
      </c>
      <c r="O319" s="364">
        <v>0</v>
      </c>
      <c r="P319" s="365">
        <v>0</v>
      </c>
      <c r="Q319" s="365">
        <v>2.9700031927234732E-3</v>
      </c>
      <c r="R319" s="365">
        <v>3.737406353221398E-2</v>
      </c>
      <c r="S319" s="365">
        <v>0</v>
      </c>
      <c r="T319" s="365">
        <v>0</v>
      </c>
      <c r="U319" s="365">
        <v>0</v>
      </c>
      <c r="V319" s="365">
        <v>0</v>
      </c>
      <c r="W319" s="365">
        <v>0</v>
      </c>
      <c r="X319" s="365">
        <v>0</v>
      </c>
      <c r="Y319" s="399">
        <v>0</v>
      </c>
      <c r="Z319" s="328">
        <f t="shared" si="134"/>
        <v>2.4855657195891551E-3</v>
      </c>
      <c r="AA319" s="330">
        <f t="shared" si="135"/>
        <v>9.8968173241004674E-4</v>
      </c>
      <c r="AB319" s="1054">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1055">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334">
        <f t="shared" si="142"/>
        <v>0</v>
      </c>
      <c r="AE319" s="1338">
        <f t="shared" si="139"/>
        <v>5.5732207503304224E-4</v>
      </c>
      <c r="AF319" s="1339">
        <f t="shared" si="140"/>
        <v>2.4855657195891551E-3</v>
      </c>
      <c r="AG319" s="1339">
        <f t="shared" si="141"/>
        <v>3.0428877946221972E-3</v>
      </c>
      <c r="AH319" s="1280">
        <f t="shared" si="137"/>
        <v>0.18315564445656432</v>
      </c>
      <c r="AI319" s="1340">
        <f t="shared" si="138"/>
        <v>0.81684435554343571</v>
      </c>
    </row>
    <row r="320" spans="1:35" x14ac:dyDescent="0.2">
      <c r="A320" s="347">
        <v>2041</v>
      </c>
      <c r="B320" s="360">
        <v>0</v>
      </c>
      <c r="C320" s="361">
        <v>0</v>
      </c>
      <c r="D320" s="361">
        <v>2.392726312296574E-3</v>
      </c>
      <c r="E320" s="361">
        <v>3.5715647038021006E-2</v>
      </c>
      <c r="F320" s="361">
        <v>0</v>
      </c>
      <c r="G320" s="361">
        <v>0</v>
      </c>
      <c r="H320" s="361">
        <v>0</v>
      </c>
      <c r="I320" s="361">
        <v>0</v>
      </c>
      <c r="J320" s="361">
        <v>0</v>
      </c>
      <c r="K320" s="361">
        <v>0</v>
      </c>
      <c r="L320" s="397">
        <v>0</v>
      </c>
      <c r="M320" s="300">
        <f t="shared" si="132"/>
        <v>1.8329479658335006E-3</v>
      </c>
      <c r="N320" s="302">
        <f t="shared" si="133"/>
        <v>7.4643501301365866E-4</v>
      </c>
      <c r="O320" s="360">
        <v>0</v>
      </c>
      <c r="P320" s="361">
        <v>0</v>
      </c>
      <c r="Q320" s="361">
        <v>1.3241626260792907E-2</v>
      </c>
      <c r="R320" s="361">
        <v>6.8355437531291557E-2</v>
      </c>
      <c r="S320" s="361">
        <v>0</v>
      </c>
      <c r="T320" s="361">
        <v>0</v>
      </c>
      <c r="U320" s="361">
        <v>0</v>
      </c>
      <c r="V320" s="361">
        <v>0</v>
      </c>
      <c r="W320" s="361">
        <v>0</v>
      </c>
      <c r="X320" s="361">
        <v>0</v>
      </c>
      <c r="Y320" s="397">
        <v>0</v>
      </c>
      <c r="Z320" s="300">
        <f t="shared" si="134"/>
        <v>5.2007137585658014E-3</v>
      </c>
      <c r="AA320" s="302">
        <f t="shared" si="135"/>
        <v>2.1737931688805079E-3</v>
      </c>
      <c r="AB320" s="1054">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1055">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334">
        <f t="shared" si="142"/>
        <v>0</v>
      </c>
      <c r="AE320" s="1338">
        <f t="shared" si="139"/>
        <v>1.8329479658335006E-3</v>
      </c>
      <c r="AF320" s="1339">
        <f t="shared" si="140"/>
        <v>5.2007137585658014E-3</v>
      </c>
      <c r="AG320" s="1339">
        <f t="shared" si="141"/>
        <v>7.0336617243993019E-3</v>
      </c>
      <c r="AH320" s="1280">
        <f t="shared" si="137"/>
        <v>0.2605965480931684</v>
      </c>
      <c r="AI320" s="1340">
        <f t="shared" si="138"/>
        <v>0.73940345190683154</v>
      </c>
    </row>
    <row r="321" spans="1:35" x14ac:dyDescent="0.2">
      <c r="A321" s="348">
        <v>2042</v>
      </c>
      <c r="B321" s="362">
        <v>0</v>
      </c>
      <c r="C321" s="363">
        <v>0</v>
      </c>
      <c r="D321" s="363">
        <v>1.7881425041622351E-2</v>
      </c>
      <c r="E321" s="363">
        <v>7.5805356218320089E-2</v>
      </c>
      <c r="F321" s="363">
        <v>0</v>
      </c>
      <c r="G321" s="363">
        <v>0</v>
      </c>
      <c r="H321" s="363">
        <v>0</v>
      </c>
      <c r="I321" s="363">
        <v>0</v>
      </c>
      <c r="J321" s="363">
        <v>0</v>
      </c>
      <c r="K321" s="363">
        <v>0</v>
      </c>
      <c r="L321" s="398">
        <v>0</v>
      </c>
      <c r="M321" s="314">
        <f t="shared" si="132"/>
        <v>5.0301965410368228E-3</v>
      </c>
      <c r="N321" s="316">
        <f t="shared" si="133"/>
        <v>2.23522186810523E-3</v>
      </c>
      <c r="O321" s="362">
        <v>0</v>
      </c>
      <c r="P321" s="363">
        <v>3.7176295069186815E-4</v>
      </c>
      <c r="Q321" s="363">
        <v>3.9113728806721107E-2</v>
      </c>
      <c r="R321" s="363">
        <v>0.10220672214244987</v>
      </c>
      <c r="S321" s="363">
        <v>0</v>
      </c>
      <c r="T321" s="363">
        <v>0</v>
      </c>
      <c r="U321" s="363">
        <v>0</v>
      </c>
      <c r="V321" s="363">
        <v>0</v>
      </c>
      <c r="W321" s="363">
        <v>0</v>
      </c>
      <c r="X321" s="363">
        <v>0</v>
      </c>
      <c r="Y321" s="398">
        <v>0</v>
      </c>
      <c r="Z321" s="314">
        <f t="shared" si="134"/>
        <v>9.4958174577922452E-3</v>
      </c>
      <c r="AA321" s="316">
        <f t="shared" si="135"/>
        <v>4.2450373802024087E-3</v>
      </c>
      <c r="AB321" s="1054">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1055">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334">
        <f t="shared" si="142"/>
        <v>0</v>
      </c>
      <c r="AE321" s="1338">
        <f t="shared" si="139"/>
        <v>5.0301965410368228E-3</v>
      </c>
      <c r="AF321" s="1339">
        <f t="shared" si="140"/>
        <v>9.4958174577922452E-3</v>
      </c>
      <c r="AG321" s="1339">
        <f t="shared" si="141"/>
        <v>1.4526013998829069E-2</v>
      </c>
      <c r="AH321" s="1280">
        <f t="shared" si="137"/>
        <v>0.34628884024497725</v>
      </c>
      <c r="AI321" s="1340">
        <f t="shared" si="138"/>
        <v>0.6537111597550227</v>
      </c>
    </row>
    <row r="322" spans="1:35" x14ac:dyDescent="0.2">
      <c r="A322" s="348">
        <v>2043</v>
      </c>
      <c r="B322" s="362">
        <v>0</v>
      </c>
      <c r="C322" s="363">
        <v>1.5038301708701512E-3</v>
      </c>
      <c r="D322" s="363">
        <v>4.900629935074699E-2</v>
      </c>
      <c r="E322" s="363">
        <v>0.11644597504091432</v>
      </c>
      <c r="F322" s="363">
        <v>0</v>
      </c>
      <c r="G322" s="363">
        <v>0</v>
      </c>
      <c r="H322" s="363">
        <v>0</v>
      </c>
      <c r="I322" s="363">
        <v>0</v>
      </c>
      <c r="J322" s="363">
        <v>0</v>
      </c>
      <c r="K322" s="363">
        <v>0</v>
      </c>
      <c r="L322" s="398">
        <v>0</v>
      </c>
      <c r="M322" s="314">
        <f t="shared" si="132"/>
        <v>9.8708507114922926E-3</v>
      </c>
      <c r="N322" s="316">
        <f t="shared" si="133"/>
        <v>4.7414249226749566E-3</v>
      </c>
      <c r="O322" s="362">
        <v>0</v>
      </c>
      <c r="P322" s="363">
        <v>4.8815819351593895E-3</v>
      </c>
      <c r="Q322" s="363">
        <v>7.5680274499068265E-2</v>
      </c>
      <c r="R322" s="363">
        <v>0.1325913594150929</v>
      </c>
      <c r="S322" s="363">
        <v>0</v>
      </c>
      <c r="T322" s="363">
        <v>0</v>
      </c>
      <c r="U322" s="363">
        <v>0</v>
      </c>
      <c r="V322" s="363">
        <v>0</v>
      </c>
      <c r="W322" s="363">
        <v>0</v>
      </c>
      <c r="X322" s="363">
        <v>0</v>
      </c>
      <c r="Y322" s="398">
        <v>0</v>
      </c>
      <c r="Z322" s="314">
        <f t="shared" si="134"/>
        <v>1.5596793250000492E-2</v>
      </c>
      <c r="AA322" s="316">
        <f t="shared" si="135"/>
        <v>7.7951508600745002E-3</v>
      </c>
      <c r="AB322" s="1054">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1055">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334">
        <f t="shared" si="142"/>
        <v>0</v>
      </c>
      <c r="AE322" s="1338">
        <f t="shared" si="139"/>
        <v>9.8708507114922926E-3</v>
      </c>
      <c r="AF322" s="1339">
        <f t="shared" si="140"/>
        <v>1.5596793250000492E-2</v>
      </c>
      <c r="AG322" s="1339">
        <f t="shared" si="141"/>
        <v>2.5467643961492786E-2</v>
      </c>
      <c r="AH322" s="1280">
        <f t="shared" si="137"/>
        <v>0.38758397621770868</v>
      </c>
      <c r="AI322" s="1340">
        <f t="shared" si="138"/>
        <v>0.61241602378229121</v>
      </c>
    </row>
    <row r="323" spans="1:35" x14ac:dyDescent="0.2">
      <c r="A323" s="348">
        <v>2044</v>
      </c>
      <c r="B323" s="362">
        <v>0</v>
      </c>
      <c r="C323" s="363">
        <v>9.9588679482635785E-3</v>
      </c>
      <c r="D323" s="363">
        <v>8.2528261802823424E-2</v>
      </c>
      <c r="E323" s="363">
        <v>0.14020510215531465</v>
      </c>
      <c r="F323" s="363">
        <v>0</v>
      </c>
      <c r="G323" s="363">
        <v>0</v>
      </c>
      <c r="H323" s="363">
        <v>0</v>
      </c>
      <c r="I323" s="363">
        <v>0</v>
      </c>
      <c r="J323" s="363">
        <v>0</v>
      </c>
      <c r="K323" s="363">
        <v>0</v>
      </c>
      <c r="L323" s="398">
        <v>0</v>
      </c>
      <c r="M323" s="314">
        <f t="shared" si="132"/>
        <v>1.5205540974258044E-2</v>
      </c>
      <c r="N323" s="316">
        <f t="shared" si="133"/>
        <v>8.0577900395601386E-3</v>
      </c>
      <c r="O323" s="362">
        <v>0</v>
      </c>
      <c r="P323" s="363">
        <v>1.8094265555023983E-2</v>
      </c>
      <c r="Q323" s="363">
        <v>0.10371676390628966</v>
      </c>
      <c r="R323" s="363">
        <v>0.1494740336648071</v>
      </c>
      <c r="S323" s="363">
        <v>0</v>
      </c>
      <c r="T323" s="363">
        <v>0</v>
      </c>
      <c r="U323" s="363">
        <v>0</v>
      </c>
      <c r="V323" s="363">
        <v>0</v>
      </c>
      <c r="W323" s="363">
        <v>0</v>
      </c>
      <c r="X323" s="363">
        <v>0</v>
      </c>
      <c r="Y323" s="398">
        <v>0</v>
      </c>
      <c r="Z323" s="314">
        <f t="shared" si="134"/>
        <v>2.2523306055683128E-2</v>
      </c>
      <c r="AA323" s="316">
        <f t="shared" si="135"/>
        <v>1.2869276425686626E-2</v>
      </c>
      <c r="AB323" s="1054">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1055">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334">
        <f t="shared" si="142"/>
        <v>0</v>
      </c>
      <c r="AE323" s="1338">
        <f t="shared" si="139"/>
        <v>1.5205540974258044E-2</v>
      </c>
      <c r="AF323" s="1339">
        <f t="shared" si="140"/>
        <v>2.2523306055683128E-2</v>
      </c>
      <c r="AG323" s="1339">
        <f t="shared" si="141"/>
        <v>3.772884702994117E-2</v>
      </c>
      <c r="AH323" s="1280">
        <f t="shared" si="137"/>
        <v>0.40302161797287644</v>
      </c>
      <c r="AI323" s="1340">
        <f t="shared" si="138"/>
        <v>0.59697838202712361</v>
      </c>
    </row>
    <row r="324" spans="1:35" ht="13.5" thickBot="1" x14ac:dyDescent="0.25">
      <c r="A324" s="346">
        <v>2045</v>
      </c>
      <c r="B324" s="364">
        <v>0</v>
      </c>
      <c r="C324" s="365">
        <v>2.8508668111384135E-2</v>
      </c>
      <c r="D324" s="365">
        <v>0.11439076248025502</v>
      </c>
      <c r="E324" s="365">
        <v>0.15633703589333267</v>
      </c>
      <c r="F324" s="365">
        <v>0</v>
      </c>
      <c r="G324" s="365">
        <v>0</v>
      </c>
      <c r="H324" s="365">
        <v>0</v>
      </c>
      <c r="I324" s="365">
        <v>0</v>
      </c>
      <c r="J324" s="365">
        <v>0</v>
      </c>
      <c r="K324" s="365">
        <v>0</v>
      </c>
      <c r="L324" s="399">
        <v>0</v>
      </c>
      <c r="M324" s="328">
        <f t="shared" si="132"/>
        <v>2.1566034676374059E-2</v>
      </c>
      <c r="N324" s="330">
        <f t="shared" si="133"/>
        <v>1.2584773245652459E-2</v>
      </c>
      <c r="O324" s="364">
        <v>0</v>
      </c>
      <c r="P324" s="365">
        <v>4.1452182656264082E-2</v>
      </c>
      <c r="Q324" s="365">
        <v>0.12843729781149235</v>
      </c>
      <c r="R324" s="365">
        <v>0.16454739901983084</v>
      </c>
      <c r="S324" s="365">
        <v>0</v>
      </c>
      <c r="T324" s="365">
        <v>0</v>
      </c>
      <c r="U324" s="365">
        <v>0</v>
      </c>
      <c r="V324" s="365">
        <v>0</v>
      </c>
      <c r="W324" s="365">
        <v>0</v>
      </c>
      <c r="X324" s="365">
        <v>0</v>
      </c>
      <c r="Y324" s="399">
        <v>0</v>
      </c>
      <c r="Z324" s="328">
        <f t="shared" si="134"/>
        <v>3.1801463170994394E-2</v>
      </c>
      <c r="AA324" s="330">
        <f t="shared" si="135"/>
        <v>2.0345995776706975E-2</v>
      </c>
      <c r="AB324" s="1054">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1055">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334">
        <f t="shared" si="142"/>
        <v>0</v>
      </c>
      <c r="AE324" s="1338">
        <f t="shared" si="139"/>
        <v>2.1566034676374059E-2</v>
      </c>
      <c r="AF324" s="1339">
        <f t="shared" si="140"/>
        <v>3.1801463170994394E-2</v>
      </c>
      <c r="AG324" s="1339">
        <f t="shared" si="141"/>
        <v>5.3367497847368453E-2</v>
      </c>
      <c r="AH324" s="1280">
        <f t="shared" si="137"/>
        <v>0.40410428718342989</v>
      </c>
      <c r="AI324" s="1340">
        <f t="shared" si="138"/>
        <v>0.59589571281657006</v>
      </c>
    </row>
    <row r="325" spans="1:35" x14ac:dyDescent="0.2">
      <c r="A325" s="347">
        <v>2046</v>
      </c>
      <c r="B325" s="360">
        <v>0</v>
      </c>
      <c r="C325" s="361">
        <v>4.2097637441803663E-2</v>
      </c>
      <c r="D325" s="361">
        <v>0.12318149888941871</v>
      </c>
      <c r="E325" s="361">
        <v>0.16133030398779674</v>
      </c>
      <c r="F325" s="361">
        <v>0</v>
      </c>
      <c r="G325" s="361">
        <v>0</v>
      </c>
      <c r="H325" s="361">
        <v>0</v>
      </c>
      <c r="I325" s="361">
        <v>0</v>
      </c>
      <c r="J325" s="361">
        <v>0</v>
      </c>
      <c r="K325" s="361">
        <v>0</v>
      </c>
      <c r="L325" s="397">
        <v>0</v>
      </c>
      <c r="M325" s="300">
        <f t="shared" si="132"/>
        <v>2.4620571062043503E-2</v>
      </c>
      <c r="N325" s="302">
        <f t="shared" si="133"/>
        <v>1.5041912973998503E-2</v>
      </c>
      <c r="O325" s="360">
        <v>0</v>
      </c>
      <c r="P325" s="361">
        <v>5.9041810597092161E-2</v>
      </c>
      <c r="Q325" s="361">
        <v>0.13797678623562279</v>
      </c>
      <c r="R325" s="361">
        <v>0.16910491001288205</v>
      </c>
      <c r="S325" s="361">
        <v>0</v>
      </c>
      <c r="T325" s="361">
        <v>0</v>
      </c>
      <c r="U325" s="361">
        <v>0</v>
      </c>
      <c r="V325" s="361">
        <v>0</v>
      </c>
      <c r="W325" s="361">
        <v>0</v>
      </c>
      <c r="X325" s="361">
        <v>0</v>
      </c>
      <c r="Y325" s="397">
        <v>0</v>
      </c>
      <c r="Z325" s="300">
        <f t="shared" si="134"/>
        <v>3.7620901096260546E-2</v>
      </c>
      <c r="AA325" s="302">
        <f t="shared" si="135"/>
        <v>2.5398870843265645E-2</v>
      </c>
      <c r="AB325" s="1054">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1055">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334">
        <f t="shared" si="142"/>
        <v>0</v>
      </c>
      <c r="AE325" s="1338">
        <f t="shared" si="139"/>
        <v>2.4620571062043503E-2</v>
      </c>
      <c r="AF325" s="1339">
        <f t="shared" si="140"/>
        <v>3.7620901096260546E-2</v>
      </c>
      <c r="AG325" s="1339">
        <f t="shared" si="141"/>
        <v>6.224147215830405E-2</v>
      </c>
      <c r="AH325" s="1280">
        <f t="shared" si="137"/>
        <v>0.39556537158092764</v>
      </c>
      <c r="AI325" s="1340">
        <f t="shared" si="138"/>
        <v>0.60443462841907236</v>
      </c>
    </row>
    <row r="326" spans="1:35" x14ac:dyDescent="0.2">
      <c r="A326" s="348">
        <v>2047</v>
      </c>
      <c r="B326" s="362">
        <v>0</v>
      </c>
      <c r="C326" s="363">
        <v>5.5399881385815593E-2</v>
      </c>
      <c r="D326" s="363">
        <v>0.13553411744052837</v>
      </c>
      <c r="E326" s="363">
        <v>0.16606802150958569</v>
      </c>
      <c r="F326" s="363">
        <v>0</v>
      </c>
      <c r="G326" s="363">
        <v>0</v>
      </c>
      <c r="H326" s="363">
        <v>0</v>
      </c>
      <c r="I326" s="363">
        <v>0</v>
      </c>
      <c r="J326" s="363">
        <v>0</v>
      </c>
      <c r="K326" s="363">
        <v>0</v>
      </c>
      <c r="L326" s="398">
        <v>0</v>
      </c>
      <c r="M326" s="314">
        <f t="shared" si="132"/>
        <v>2.7937465765028351E-2</v>
      </c>
      <c r="N326" s="316">
        <f t="shared" si="133"/>
        <v>1.7635106417357639E-2</v>
      </c>
      <c r="O326" s="362">
        <v>0</v>
      </c>
      <c r="P326" s="363">
        <v>6.6093595879448602E-2</v>
      </c>
      <c r="Q326" s="363">
        <v>0.14483395601006885</v>
      </c>
      <c r="R326" s="363">
        <v>0.17444917534511045</v>
      </c>
      <c r="S326" s="363">
        <v>0</v>
      </c>
      <c r="T326" s="363">
        <v>0</v>
      </c>
      <c r="U326" s="363">
        <v>0</v>
      </c>
      <c r="V326" s="363">
        <v>0</v>
      </c>
      <c r="W326" s="363">
        <v>0</v>
      </c>
      <c r="X326" s="363">
        <v>0</v>
      </c>
      <c r="Y326" s="398">
        <v>0</v>
      </c>
      <c r="Z326" s="314">
        <f t="shared" si="134"/>
        <v>4.0418675877657274E-2</v>
      </c>
      <c r="AA326" s="316">
        <f t="shared" si="135"/>
        <v>2.7645957489708953E-2</v>
      </c>
      <c r="AB326" s="1054">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1055">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334">
        <f t="shared" si="142"/>
        <v>0</v>
      </c>
      <c r="AE326" s="1338">
        <f t="shared" si="139"/>
        <v>2.7937465765028351E-2</v>
      </c>
      <c r="AF326" s="1339">
        <f t="shared" si="140"/>
        <v>4.0418675877657274E-2</v>
      </c>
      <c r="AG326" s="1339">
        <f t="shared" si="141"/>
        <v>6.8356141642685622E-2</v>
      </c>
      <c r="AH326" s="1280">
        <f t="shared" si="137"/>
        <v>0.40870454495609715</v>
      </c>
      <c r="AI326" s="1340">
        <f t="shared" si="138"/>
        <v>0.59129545504390291</v>
      </c>
    </row>
    <row r="327" spans="1:35" x14ac:dyDescent="0.2">
      <c r="A327" s="348">
        <v>2048</v>
      </c>
      <c r="B327" s="362">
        <v>0</v>
      </c>
      <c r="C327" s="363">
        <v>6.5306536143494659E-2</v>
      </c>
      <c r="D327" s="363">
        <v>0.14123152768717825</v>
      </c>
      <c r="E327" s="363">
        <v>0.17168928978464931</v>
      </c>
      <c r="F327" s="363">
        <v>0</v>
      </c>
      <c r="G327" s="363">
        <v>0</v>
      </c>
      <c r="H327" s="363">
        <v>0</v>
      </c>
      <c r="I327" s="363">
        <v>0</v>
      </c>
      <c r="J327" s="363">
        <v>0</v>
      </c>
      <c r="K327" s="363">
        <v>0</v>
      </c>
      <c r="L327" s="398">
        <v>0</v>
      </c>
      <c r="M327" s="314">
        <f t="shared" si="132"/>
        <v>3.0190823847956138E-2</v>
      </c>
      <c r="N327" s="316">
        <f t="shared" si="133"/>
        <v>1.942490929356833E-2</v>
      </c>
      <c r="O327" s="362">
        <v>0</v>
      </c>
      <c r="P327" s="363">
        <v>7.1855985385207613E-2</v>
      </c>
      <c r="Q327" s="363">
        <v>0.15028303885610475</v>
      </c>
      <c r="R327" s="363">
        <v>0.17513676253635235</v>
      </c>
      <c r="S327" s="363">
        <v>0</v>
      </c>
      <c r="T327" s="363">
        <v>0</v>
      </c>
      <c r="U327" s="363">
        <v>0</v>
      </c>
      <c r="V327" s="363">
        <v>0</v>
      </c>
      <c r="W327" s="363">
        <v>0</v>
      </c>
      <c r="X327" s="363">
        <v>0</v>
      </c>
      <c r="Y327" s="398">
        <v>0</v>
      </c>
      <c r="Z327" s="314">
        <f t="shared" si="134"/>
        <v>4.2471761089217436E-2</v>
      </c>
      <c r="AA327" s="316">
        <f t="shared" si="135"/>
        <v>2.9391169678213487E-2</v>
      </c>
      <c r="AB327" s="1054">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1055">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334">
        <f t="shared" si="142"/>
        <v>0</v>
      </c>
      <c r="AE327" s="1338">
        <f t="shared" si="139"/>
        <v>3.0190823847956138E-2</v>
      </c>
      <c r="AF327" s="1339">
        <f t="shared" si="140"/>
        <v>4.2471761089217436E-2</v>
      </c>
      <c r="AG327" s="1339">
        <f t="shared" si="141"/>
        <v>7.2662584937173577E-2</v>
      </c>
      <c r="AH327" s="1280">
        <f t="shared" si="137"/>
        <v>0.41549339146219616</v>
      </c>
      <c r="AI327" s="1340">
        <f t="shared" si="138"/>
        <v>0.58450660853780378</v>
      </c>
    </row>
    <row r="328" spans="1:35" x14ac:dyDescent="0.2">
      <c r="A328" s="348">
        <v>2049</v>
      </c>
      <c r="B328" s="362">
        <v>0</v>
      </c>
      <c r="C328" s="363">
        <v>6.8571520691587534E-2</v>
      </c>
      <c r="D328" s="363">
        <v>0.14177764930102038</v>
      </c>
      <c r="E328" s="363">
        <v>0.17234433875629845</v>
      </c>
      <c r="F328" s="363">
        <v>0</v>
      </c>
      <c r="G328" s="363">
        <v>0</v>
      </c>
      <c r="H328" s="363">
        <v>0</v>
      </c>
      <c r="I328" s="363">
        <v>0</v>
      </c>
      <c r="J328" s="363">
        <v>0</v>
      </c>
      <c r="K328" s="363">
        <v>0</v>
      </c>
      <c r="L328" s="398">
        <v>0</v>
      </c>
      <c r="M328" s="314">
        <f t="shared" si="132"/>
        <v>3.0760606361214932E-2</v>
      </c>
      <c r="N328" s="316">
        <f t="shared" si="133"/>
        <v>1.992613151423368E-2</v>
      </c>
      <c r="O328" s="362">
        <v>0</v>
      </c>
      <c r="P328" s="363">
        <v>7.6890857558559345E-2</v>
      </c>
      <c r="Q328" s="363">
        <v>0.15086506633015448</v>
      </c>
      <c r="R328" s="363">
        <v>0.18012281635908023</v>
      </c>
      <c r="S328" s="363">
        <v>0</v>
      </c>
      <c r="T328" s="363">
        <v>0</v>
      </c>
      <c r="U328" s="363">
        <v>0</v>
      </c>
      <c r="V328" s="363">
        <v>0</v>
      </c>
      <c r="W328" s="363">
        <v>0</v>
      </c>
      <c r="X328" s="363">
        <v>0</v>
      </c>
      <c r="Y328" s="398">
        <v>0</v>
      </c>
      <c r="Z328" s="314">
        <f t="shared" si="134"/>
        <v>4.4177707399643759E-2</v>
      </c>
      <c r="AA328" s="316">
        <f t="shared" si="135"/>
        <v>3.0821309193222696E-2</v>
      </c>
      <c r="AB328" s="1054">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1055">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334">
        <f t="shared" si="142"/>
        <v>0</v>
      </c>
      <c r="AE328" s="1338">
        <f t="shared" si="139"/>
        <v>3.0760606361214932E-2</v>
      </c>
      <c r="AF328" s="1339">
        <f t="shared" si="140"/>
        <v>4.4177707399643759E-2</v>
      </c>
      <c r="AG328" s="1339">
        <f t="shared" si="141"/>
        <v>7.4938313760858688E-2</v>
      </c>
      <c r="AH328" s="1280">
        <f t="shared" si="137"/>
        <v>0.41047903025116667</v>
      </c>
      <c r="AI328" s="1340">
        <f t="shared" si="138"/>
        <v>0.58952096974883339</v>
      </c>
    </row>
    <row r="329" spans="1:35" ht="13.5" thickBot="1" x14ac:dyDescent="0.25">
      <c r="A329" s="346">
        <v>2050</v>
      </c>
      <c r="B329" s="364">
        <v>0</v>
      </c>
      <c r="C329" s="365">
        <v>6.8843372958833943E-2</v>
      </c>
      <c r="D329" s="365">
        <v>0.14866976020615622</v>
      </c>
      <c r="E329" s="365">
        <v>0.17766893103524226</v>
      </c>
      <c r="F329" s="365">
        <v>0</v>
      </c>
      <c r="G329" s="365">
        <v>0</v>
      </c>
      <c r="H329" s="365">
        <v>0</v>
      </c>
      <c r="I329" s="365">
        <v>0</v>
      </c>
      <c r="J329" s="365">
        <v>0</v>
      </c>
      <c r="K329" s="365">
        <v>0</v>
      </c>
      <c r="L329" s="399">
        <v>0</v>
      </c>
      <c r="M329" s="328">
        <f t="shared" si="132"/>
        <v>3.1656621195893783E-2</v>
      </c>
      <c r="N329" s="330">
        <f t="shared" si="133"/>
        <v>2.0408157012917857E-2</v>
      </c>
      <c r="O329" s="364">
        <v>0</v>
      </c>
      <c r="P329" s="365">
        <v>8.3078160274619756E-2</v>
      </c>
      <c r="Q329" s="365">
        <v>0.15744089910023357</v>
      </c>
      <c r="R329" s="365">
        <v>0.18079735214782763</v>
      </c>
      <c r="S329" s="365">
        <v>0</v>
      </c>
      <c r="T329" s="365">
        <v>0</v>
      </c>
      <c r="U329" s="365">
        <v>0</v>
      </c>
      <c r="V329" s="365">
        <v>0</v>
      </c>
      <c r="W329" s="365">
        <v>0</v>
      </c>
      <c r="X329" s="365">
        <v>0</v>
      </c>
      <c r="Y329" s="399">
        <v>0</v>
      </c>
      <c r="Z329" s="328">
        <f t="shared" si="134"/>
        <v>4.6439146120843787E-2</v>
      </c>
      <c r="AA329" s="330">
        <f t="shared" si="135"/>
        <v>3.2727521404723729E-2</v>
      </c>
      <c r="AB329" s="1056">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1057">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335">
        <f t="shared" si="142"/>
        <v>0</v>
      </c>
      <c r="AE329" s="1341">
        <f t="shared" si="139"/>
        <v>3.1656621195893783E-2</v>
      </c>
      <c r="AF329" s="1342">
        <f t="shared" si="140"/>
        <v>4.6439146120843787E-2</v>
      </c>
      <c r="AG329" s="1342">
        <f t="shared" si="141"/>
        <v>7.8095767316737563E-2</v>
      </c>
      <c r="AH329" s="1343">
        <f t="shared" si="137"/>
        <v>0.40535642690470247</v>
      </c>
      <c r="AI329" s="1344">
        <f t="shared" si="138"/>
        <v>0.59464357309529758</v>
      </c>
    </row>
    <row r="330" spans="1:35" x14ac:dyDescent="0.2">
      <c r="B330" s="245" t="s">
        <v>249</v>
      </c>
      <c r="U330" s="245" t="s">
        <v>249</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I50" sqref="I50"/>
    </sheetView>
  </sheetViews>
  <sheetFormatPr defaultColWidth="9.140625" defaultRowHeight="12.75" x14ac:dyDescent="0.2"/>
  <cols>
    <col min="1" max="1" width="9.140625" style="415"/>
    <col min="2" max="2" width="14" style="415" customWidth="1"/>
    <col min="3" max="7" width="10.42578125" style="415" customWidth="1"/>
    <col min="8" max="8" width="13.5703125" style="415" customWidth="1"/>
    <col min="9" max="13" width="10.42578125" style="415" customWidth="1"/>
    <col min="14" max="14" width="13.140625" style="415" customWidth="1"/>
    <col min="15" max="15" width="11.28515625" style="415" bestFit="1" customWidth="1"/>
    <col min="16" max="16" width="11.5703125" style="415" customWidth="1"/>
    <col min="17" max="17" width="9.140625" style="415"/>
    <col min="18" max="18" width="13.28515625" style="415" customWidth="1"/>
    <col min="19" max="20" width="9.140625" style="415"/>
    <col min="21" max="21" width="11.42578125" style="415" customWidth="1"/>
    <col min="22" max="22" width="11.140625" style="415" customWidth="1"/>
    <col min="23" max="23" width="10.28515625" style="415" customWidth="1"/>
    <col min="24" max="24" width="13" style="415" customWidth="1"/>
    <col min="25" max="27" width="9.140625" style="415"/>
    <col min="28" max="28" width="10.42578125" style="415" customWidth="1"/>
    <col min="29" max="29" width="10.7109375" style="415" customWidth="1"/>
    <col min="30" max="30" width="13.28515625" style="415" customWidth="1"/>
    <col min="31" max="31" width="11.28515625" style="415" bestFit="1" customWidth="1"/>
    <col min="32" max="34" width="9.140625" style="415"/>
    <col min="35" max="35" width="10.140625" style="415" customWidth="1"/>
    <col min="36" max="36" width="14" style="415" customWidth="1"/>
    <col min="37" max="39" width="9.140625" style="415"/>
    <col min="40" max="40" width="10.140625" style="415" customWidth="1"/>
    <col min="41" max="41" width="10.42578125" style="415" customWidth="1"/>
    <col min="42" max="42" width="9.140625" style="415"/>
    <col min="43" max="43" width="12.140625" style="415" customWidth="1"/>
    <col min="44" max="16384" width="9.140625" style="415"/>
  </cols>
  <sheetData>
    <row r="1" spans="1:43" x14ac:dyDescent="0.2">
      <c r="A1" s="967" t="s">
        <v>270</v>
      </c>
    </row>
    <row r="2" spans="1:43" ht="13.5" thickBot="1" x14ac:dyDescent="0.25"/>
    <row r="3" spans="1:43" ht="19.5" customHeight="1" thickBot="1" x14ac:dyDescent="0.35">
      <c r="A3" s="1596" t="s">
        <v>152</v>
      </c>
      <c r="B3" s="1597"/>
      <c r="C3" s="1597"/>
      <c r="D3" s="1597"/>
      <c r="E3" s="1597"/>
      <c r="F3" s="1597"/>
      <c r="G3" s="1597"/>
      <c r="H3" s="1597"/>
      <c r="I3" s="1597"/>
      <c r="J3" s="1597"/>
      <c r="K3" s="1597"/>
      <c r="L3" s="1597"/>
      <c r="M3" s="1597"/>
      <c r="N3" s="1597"/>
      <c r="O3" s="1597"/>
      <c r="P3" s="1597"/>
      <c r="Q3" s="1597"/>
      <c r="R3" s="1597"/>
      <c r="S3" s="1597"/>
      <c r="T3" s="1597"/>
      <c r="U3" s="1598"/>
      <c r="V3" s="955"/>
      <c r="W3" s="1599" t="s">
        <v>187</v>
      </c>
      <c r="X3" s="1600"/>
      <c r="Y3" s="1600"/>
      <c r="Z3" s="1600"/>
      <c r="AA3" s="1600"/>
      <c r="AB3" s="1600"/>
      <c r="AC3" s="1600"/>
      <c r="AD3" s="1600"/>
      <c r="AE3" s="1600"/>
      <c r="AF3" s="1600"/>
      <c r="AG3" s="1600"/>
      <c r="AH3" s="1600"/>
      <c r="AI3" s="1600"/>
      <c r="AJ3" s="1600"/>
      <c r="AK3" s="1600"/>
      <c r="AL3" s="1600"/>
      <c r="AM3" s="1600"/>
      <c r="AN3" s="1600"/>
      <c r="AO3" s="1600"/>
      <c r="AP3" s="1600"/>
      <c r="AQ3" s="1601"/>
    </row>
    <row r="4" spans="1:43" ht="15" x14ac:dyDescent="0.25">
      <c r="A4" s="418"/>
      <c r="B4" s="1594" t="s">
        <v>258</v>
      </c>
      <c r="C4" s="1605"/>
      <c r="D4" s="1605"/>
      <c r="E4" s="1605"/>
      <c r="F4" s="1605"/>
      <c r="G4" s="1595"/>
      <c r="H4" s="1594" t="s">
        <v>259</v>
      </c>
      <c r="I4" s="1605"/>
      <c r="J4" s="1605"/>
      <c r="K4" s="1605"/>
      <c r="L4" s="1605"/>
      <c r="M4" s="1595"/>
      <c r="N4" s="1594" t="s">
        <v>156</v>
      </c>
      <c r="O4" s="1605"/>
      <c r="P4" s="1605"/>
      <c r="Q4" s="1605"/>
      <c r="R4" s="1605"/>
      <c r="S4" s="1595"/>
      <c r="T4" s="1594" t="s">
        <v>155</v>
      </c>
      <c r="U4" s="1595"/>
      <c r="W4" s="418"/>
      <c r="X4" s="1594" t="s">
        <v>258</v>
      </c>
      <c r="Y4" s="1605"/>
      <c r="Z4" s="1605"/>
      <c r="AA4" s="1605"/>
      <c r="AB4" s="1605"/>
      <c r="AC4" s="1595"/>
      <c r="AD4" s="1594" t="s">
        <v>259</v>
      </c>
      <c r="AE4" s="1605"/>
      <c r="AF4" s="1605"/>
      <c r="AG4" s="1605"/>
      <c r="AH4" s="1605"/>
      <c r="AI4" s="1595"/>
      <c r="AJ4" s="1594" t="s">
        <v>156</v>
      </c>
      <c r="AK4" s="1605"/>
      <c r="AL4" s="1605"/>
      <c r="AM4" s="1605"/>
      <c r="AN4" s="1605"/>
      <c r="AO4" s="1595"/>
      <c r="AP4" s="1594" t="s">
        <v>155</v>
      </c>
      <c r="AQ4" s="1595"/>
    </row>
    <row r="5" spans="1:43" ht="15" x14ac:dyDescent="0.25">
      <c r="A5" s="419"/>
      <c r="B5" s="1602" t="s">
        <v>129</v>
      </c>
      <c r="C5" s="1603"/>
      <c r="D5" s="1603"/>
      <c r="E5" s="1603"/>
      <c r="F5" s="1603"/>
      <c r="G5" s="1604"/>
      <c r="H5" s="1602" t="s">
        <v>129</v>
      </c>
      <c r="I5" s="1603"/>
      <c r="J5" s="1603"/>
      <c r="K5" s="1603"/>
      <c r="L5" s="1603"/>
      <c r="M5" s="1604"/>
      <c r="N5" s="1602" t="s">
        <v>129</v>
      </c>
      <c r="O5" s="1603"/>
      <c r="P5" s="1603"/>
      <c r="Q5" s="1603"/>
      <c r="R5" s="1603"/>
      <c r="S5" s="1604"/>
      <c r="T5" s="1592" t="s">
        <v>129</v>
      </c>
      <c r="U5" s="1593"/>
      <c r="W5" s="419"/>
      <c r="X5" s="1602" t="s">
        <v>129</v>
      </c>
      <c r="Y5" s="1603"/>
      <c r="Z5" s="1603"/>
      <c r="AA5" s="1603"/>
      <c r="AB5" s="1603"/>
      <c r="AC5" s="1604"/>
      <c r="AD5" s="1602" t="s">
        <v>129</v>
      </c>
      <c r="AE5" s="1603"/>
      <c r="AF5" s="1603"/>
      <c r="AG5" s="1603"/>
      <c r="AH5" s="1603"/>
      <c r="AI5" s="1604"/>
      <c r="AJ5" s="1602" t="s">
        <v>129</v>
      </c>
      <c r="AK5" s="1603"/>
      <c r="AL5" s="1603"/>
      <c r="AM5" s="1603"/>
      <c r="AN5" s="1603"/>
      <c r="AO5" s="1604"/>
      <c r="AP5" s="1592" t="s">
        <v>129</v>
      </c>
      <c r="AQ5" s="1593"/>
    </row>
    <row r="6" spans="1:43"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8"/>
      <c r="U6" s="750"/>
      <c r="W6" s="419"/>
      <c r="X6" s="771" t="s">
        <v>69</v>
      </c>
      <c r="Y6" s="768" t="s">
        <v>65</v>
      </c>
      <c r="Z6" s="768" t="s">
        <v>66</v>
      </c>
      <c r="AA6" s="768" t="s">
        <v>67</v>
      </c>
      <c r="AB6" s="768" t="s">
        <v>207</v>
      </c>
      <c r="AC6" s="956" t="s">
        <v>208</v>
      </c>
      <c r="AD6" s="771" t="s">
        <v>69</v>
      </c>
      <c r="AE6" s="768" t="s">
        <v>65</v>
      </c>
      <c r="AF6" s="768" t="s">
        <v>66</v>
      </c>
      <c r="AG6" s="768" t="s">
        <v>67</v>
      </c>
      <c r="AH6" s="768" t="s">
        <v>207</v>
      </c>
      <c r="AI6" s="956" t="s">
        <v>208</v>
      </c>
      <c r="AJ6" s="771" t="s">
        <v>69</v>
      </c>
      <c r="AK6" s="768" t="s">
        <v>65</v>
      </c>
      <c r="AL6" s="768" t="s">
        <v>66</v>
      </c>
      <c r="AM6" s="768" t="s">
        <v>67</v>
      </c>
      <c r="AN6" s="768" t="s">
        <v>207</v>
      </c>
      <c r="AO6" s="770" t="s">
        <v>208</v>
      </c>
      <c r="AP6" s="748"/>
      <c r="AQ6" s="750"/>
    </row>
    <row r="7" spans="1:43" s="954" customFormat="1" ht="30" x14ac:dyDescent="0.2">
      <c r="A7" s="948"/>
      <c r="B7" s="1210" t="str">
        <f t="shared" ref="B7:G7" si="0">INDEX(TECH_OPT_DESC_Cls1,MATCH(B6,TECH_OPT_ROWS_Cls1,0))</f>
        <v>Conventional Diesel ICE</v>
      </c>
      <c r="C7" s="1211" t="str">
        <f t="shared" si="0"/>
        <v>Adv Conv</v>
      </c>
      <c r="D7" s="1211" t="str">
        <f t="shared" si="0"/>
        <v>ISG</v>
      </c>
      <c r="E7" s="1211" t="str">
        <f t="shared" si="0"/>
        <v>HEV</v>
      </c>
      <c r="F7" s="1211" t="str">
        <f t="shared" si="0"/>
        <v>PHEV</v>
      </c>
      <c r="G7" s="1212" t="str">
        <f t="shared" si="0"/>
        <v>FCHEV</v>
      </c>
      <c r="H7" s="1210" t="str">
        <f t="shared" ref="H7:M7" si="1">INDEX(TECH_OPT_DESC_Cls2,MATCH(H6,TECH_OPT_ROWS_Cls2,0))</f>
        <v>Conventional Diesel ICE</v>
      </c>
      <c r="I7" s="1211" t="str">
        <f t="shared" si="1"/>
        <v>Adv Conv</v>
      </c>
      <c r="J7" s="1211" t="str">
        <f t="shared" si="1"/>
        <v>ISG</v>
      </c>
      <c r="K7" s="1211" t="str">
        <f t="shared" si="1"/>
        <v>PHEV</v>
      </c>
      <c r="L7" s="1211" t="str">
        <f t="shared" si="1"/>
        <v>BEV</v>
      </c>
      <c r="M7" s="1212" t="str">
        <f t="shared" si="1"/>
        <v>FCHEV</v>
      </c>
      <c r="N7" s="1210" t="str">
        <f t="shared" ref="N7:S7" si="2">INDEX(TECH_OPT_DESC_Cls3,MATCH(N6,TECH_OPT_ROWS_Cls3,0))</f>
        <v>Conventional Diesel ICE</v>
      </c>
      <c r="O7" s="1211" t="str">
        <f t="shared" si="2"/>
        <v>Adv Conv</v>
      </c>
      <c r="P7" s="1211" t="str">
        <f t="shared" si="2"/>
        <v>ISG</v>
      </c>
      <c r="Q7" s="1211" t="str">
        <f t="shared" si="2"/>
        <v>HEV</v>
      </c>
      <c r="R7" s="1211" t="str">
        <f t="shared" si="2"/>
        <v>PHEV</v>
      </c>
      <c r="S7" s="1212" t="str">
        <f t="shared" si="2"/>
        <v>BEV</v>
      </c>
      <c r="T7" s="965" t="s">
        <v>70</v>
      </c>
      <c r="U7" s="953" t="s">
        <v>140</v>
      </c>
      <c r="W7" s="948"/>
      <c r="X7" s="949" t="str">
        <f t="shared" ref="X7:AC7" si="3">INDEX(TECH_OPT_DESC_Cls1,MATCH(X6,TECH_OPT_ROWS_Cls1,0))</f>
        <v>Conventional Diesel ICE</v>
      </c>
      <c r="Y7" s="950" t="str">
        <f t="shared" si="3"/>
        <v>Adv Conv</v>
      </c>
      <c r="Z7" s="950" t="str">
        <f t="shared" si="3"/>
        <v>ISG</v>
      </c>
      <c r="AA7" s="963" t="str">
        <f t="shared" si="3"/>
        <v>HEV</v>
      </c>
      <c r="AB7" s="950" t="str">
        <f t="shared" si="3"/>
        <v>PHEV</v>
      </c>
      <c r="AC7" s="951" t="str">
        <f t="shared" si="3"/>
        <v>FCHEV</v>
      </c>
      <c r="AD7" s="949" t="str">
        <f t="shared" ref="AD7:AI7" si="4">INDEX(TECH_OPT_DESC_Cls2,MATCH(AD6,TECH_OPT_ROWS_Cls2,0))</f>
        <v>Conventional Diesel ICE</v>
      </c>
      <c r="AE7" s="950" t="str">
        <f t="shared" si="4"/>
        <v>Adv Conv</v>
      </c>
      <c r="AF7" s="950" t="str">
        <f t="shared" si="4"/>
        <v>ISG</v>
      </c>
      <c r="AG7" s="963" t="str">
        <f t="shared" si="4"/>
        <v>PHEV</v>
      </c>
      <c r="AH7" s="950" t="str">
        <f t="shared" si="4"/>
        <v>BEV</v>
      </c>
      <c r="AI7" s="951" t="str">
        <f t="shared" si="4"/>
        <v>FCHEV</v>
      </c>
      <c r="AJ7" s="949" t="str">
        <f t="shared" ref="AJ7:AO7" si="5">INDEX(TECH_OPT_DESC_Cls3,MATCH(AJ6,TECH_OPT_ROWS_Cls3,0))</f>
        <v>Conventional Diesel ICE</v>
      </c>
      <c r="AK7" s="950" t="str">
        <f t="shared" si="5"/>
        <v>Adv Conv</v>
      </c>
      <c r="AL7" s="950" t="str">
        <f t="shared" si="5"/>
        <v>ISG</v>
      </c>
      <c r="AM7" s="963" t="str">
        <f t="shared" si="5"/>
        <v>HEV</v>
      </c>
      <c r="AN7" s="950" t="str">
        <f t="shared" si="5"/>
        <v>PHEV</v>
      </c>
      <c r="AO7" s="964" t="str">
        <f t="shared" si="5"/>
        <v>BEV</v>
      </c>
      <c r="AP7" s="965"/>
      <c r="AQ7" s="953"/>
    </row>
    <row r="8" spans="1:43" ht="30.75" thickBot="1" x14ac:dyDescent="0.3">
      <c r="A8" s="423" t="s">
        <v>3</v>
      </c>
      <c r="B8" s="1213" t="str">
        <f t="shared" ref="B8:G8" si="6">INDEX(TECH_OPT_FUEL1_Cls1,MATCH(B6,TECH_OPT_ROWS_Cls1,0))</f>
        <v>Diesel</v>
      </c>
      <c r="C8" s="1214" t="str">
        <f t="shared" si="6"/>
        <v>Diesel</v>
      </c>
      <c r="D8" s="1214" t="str">
        <f t="shared" si="6"/>
        <v>Diesel</v>
      </c>
      <c r="E8" s="1214" t="str">
        <f t="shared" si="6"/>
        <v>Diesel</v>
      </c>
      <c r="F8" s="1214" t="str">
        <f t="shared" si="6"/>
        <v>Diesel</v>
      </c>
      <c r="G8" s="1215" t="str">
        <f t="shared" si="6"/>
        <v>Hydrogen</v>
      </c>
      <c r="H8" s="1213" t="str">
        <f t="shared" ref="H8:M8" si="7">INDEX(TECH_OPT_FUEL1_Cls2,MATCH(H6,TECH_OPT_ROWS_Cls2,0))</f>
        <v>Diesel</v>
      </c>
      <c r="I8" s="1214" t="str">
        <f t="shared" si="7"/>
        <v>Diesel</v>
      </c>
      <c r="J8" s="1214" t="str">
        <f t="shared" si="7"/>
        <v>Diesel</v>
      </c>
      <c r="K8" s="1214" t="str">
        <f t="shared" si="7"/>
        <v>Diesel</v>
      </c>
      <c r="L8" s="1214" t="str">
        <f t="shared" si="7"/>
        <v>Electricity</v>
      </c>
      <c r="M8" s="1215" t="str">
        <f t="shared" si="7"/>
        <v>Hydrogen</v>
      </c>
      <c r="N8" s="1213" t="str">
        <f t="shared" ref="N8:S8" si="8">INDEX(TECH_OPT_FUEL1_Cls3,MATCH(N6,TECH_OPT_ROWS_Cls3,0))</f>
        <v>Diesel</v>
      </c>
      <c r="O8" s="1214" t="str">
        <f t="shared" si="8"/>
        <v>Diesel</v>
      </c>
      <c r="P8" s="1214" t="str">
        <f t="shared" si="8"/>
        <v>Diesel</v>
      </c>
      <c r="Q8" s="1214" t="str">
        <f t="shared" si="8"/>
        <v>Diesel</v>
      </c>
      <c r="R8" s="1214" t="str">
        <f t="shared" si="8"/>
        <v>Diesel</v>
      </c>
      <c r="S8" s="1215" t="str">
        <f t="shared" si="8"/>
        <v>Electricity</v>
      </c>
      <c r="T8" s="437"/>
      <c r="U8" s="436"/>
      <c r="W8" s="423" t="s">
        <v>3</v>
      </c>
      <c r="X8" s="781" t="str">
        <f t="shared" ref="X8:AC8" si="9">INDEX(TECH_OPT_FUEL1_Cls1,MATCH(X6,TECH_OPT_ROWS_Cls1,0))</f>
        <v>Diesel</v>
      </c>
      <c r="Y8" s="769" t="str">
        <f t="shared" si="9"/>
        <v>Diesel</v>
      </c>
      <c r="Z8" s="769" t="str">
        <f t="shared" si="9"/>
        <v>Diesel</v>
      </c>
      <c r="AA8" s="769" t="str">
        <f t="shared" si="9"/>
        <v>Diesel</v>
      </c>
      <c r="AB8" s="769" t="str">
        <f t="shared" si="9"/>
        <v>Diesel</v>
      </c>
      <c r="AC8" s="957" t="str">
        <f t="shared" si="9"/>
        <v>Hydrogen</v>
      </c>
      <c r="AD8" s="781" t="str">
        <f t="shared" ref="AD8:AI8" si="10">INDEX(TECH_OPT_FUEL1_Cls2,MATCH(AD6,TECH_OPT_ROWS_Cls2,0))</f>
        <v>Diesel</v>
      </c>
      <c r="AE8" s="769" t="str">
        <f t="shared" si="10"/>
        <v>Diesel</v>
      </c>
      <c r="AF8" s="769" t="str">
        <f t="shared" si="10"/>
        <v>Diesel</v>
      </c>
      <c r="AG8" s="769" t="str">
        <f t="shared" si="10"/>
        <v>Diesel</v>
      </c>
      <c r="AH8" s="769" t="str">
        <f t="shared" si="10"/>
        <v>Electricity</v>
      </c>
      <c r="AI8" s="957" t="str">
        <f t="shared" si="10"/>
        <v>Hydrogen</v>
      </c>
      <c r="AJ8" s="781" t="str">
        <f t="shared" ref="AJ8:AO8" si="11">INDEX(TECH_OPT_FUEL1_Cls3,MATCH(AJ6,TECH_OPT_ROWS_Cls3,0))</f>
        <v>Diesel</v>
      </c>
      <c r="AK8" s="769" t="str">
        <f t="shared" si="11"/>
        <v>Diesel</v>
      </c>
      <c r="AL8" s="769" t="str">
        <f t="shared" si="11"/>
        <v>Diesel</v>
      </c>
      <c r="AM8" s="769" t="str">
        <f t="shared" si="11"/>
        <v>Diesel</v>
      </c>
      <c r="AN8" s="769" t="str">
        <f t="shared" si="11"/>
        <v>Diesel</v>
      </c>
      <c r="AO8" s="782" t="str">
        <f t="shared" si="11"/>
        <v>Electricity</v>
      </c>
      <c r="AP8" s="437" t="s">
        <v>70</v>
      </c>
      <c r="AQ8" s="436" t="s">
        <v>140</v>
      </c>
    </row>
    <row r="9" spans="1:43" ht="15.75" thickTop="1" x14ac:dyDescent="0.25">
      <c r="A9" s="421">
        <v>2007</v>
      </c>
      <c r="B9" s="438">
        <f>1-SUM(C9:G9)</f>
        <v>1</v>
      </c>
      <c r="C9" s="439">
        <f>'7&amp;8 Sleep'!$M76+'7&amp;8 Sleep'!$Z76</f>
        <v>0</v>
      </c>
      <c r="D9" s="439">
        <f>'7&amp;8 Sleep'!$M128+'7&amp;8 Sleep'!$Z128</f>
        <v>0</v>
      </c>
      <c r="E9" s="799">
        <f>'7&amp;8 Sleep'!$M180+'7&amp;8 Sleep'!$Z180</f>
        <v>0</v>
      </c>
      <c r="F9" s="439">
        <f>'7&amp;8 Sleep'!$M233+'7&amp;8 Sleep'!$Z233</f>
        <v>0</v>
      </c>
      <c r="G9" s="757">
        <f>'7&amp;8 Sleep'!$M286+'7&amp;8 Sleep'!$Z286</f>
        <v>0</v>
      </c>
      <c r="H9" s="958">
        <f>1-SUM(I9:M9)</f>
        <v>1</v>
      </c>
      <c r="I9" s="757">
        <f>'7&amp;8 Day'!$M76+'7&amp;8 Day'!$Z76</f>
        <v>0</v>
      </c>
      <c r="J9" s="757">
        <f>'7&amp;8 Day'!$M128+'7&amp;8 Day'!$Z128</f>
        <v>0</v>
      </c>
      <c r="K9" s="757">
        <f>'7&amp;8 Day'!$M180+'7&amp;8 Day'!$Z180</f>
        <v>0</v>
      </c>
      <c r="L9" s="757">
        <f>'7&amp;8 Day'!$M233+'7&amp;8 Day'!$Z233</f>
        <v>0</v>
      </c>
      <c r="M9" s="804">
        <f>'7&amp;8 Day'!$M286+'7&amp;8 Day'!$Z286</f>
        <v>0</v>
      </c>
      <c r="N9" s="438">
        <f>1-SUM(O9:S9)</f>
        <v>1</v>
      </c>
      <c r="O9" s="439">
        <f>'7&amp;8 SU'!$M76+'7&amp;8 SU'!$Z76</f>
        <v>0</v>
      </c>
      <c r="P9" s="439">
        <f>'7&amp;8 SU'!$M128+'7&amp;8 SU'!$Z128</f>
        <v>0</v>
      </c>
      <c r="Q9" s="799">
        <f>'7&amp;8 SU'!$M180+'7&amp;8 SU'!$Z180</f>
        <v>0</v>
      </c>
      <c r="R9" s="439">
        <f>'7&amp;8 SU'!$M233+'7&amp;8 SU'!$Z233</f>
        <v>0</v>
      </c>
      <c r="S9" s="757">
        <f>'7&amp;8 SU'!$M286+'7&amp;8 SU'!$Z286</f>
        <v>0</v>
      </c>
      <c r="T9" s="438">
        <f>B9*'Market Data'!$E$52+N9*'Market Data'!$O$52</f>
        <v>0.91032159271242163</v>
      </c>
      <c r="U9" s="440">
        <f>SUM(C9:G9)*'Market Data'!$E$52+SUM(O9:S9)*'Market Data'!$O$52</f>
        <v>0</v>
      </c>
      <c r="W9" s="421">
        <v>2007</v>
      </c>
      <c r="X9" s="475">
        <f>IF('Market Penetration'!B9=0,0,1000*B9*'Market Data'!$E$51/('Market Penetration'!B9*'Market Data'!$C$51))</f>
        <v>114290.39175651137</v>
      </c>
      <c r="Y9" s="476">
        <f>IF('Market Penetration'!C9=0,0,1000*C9*'Market Data'!$E$51/('Market Penetration'!C9*'Market Data'!$C$51))</f>
        <v>0</v>
      </c>
      <c r="Z9" s="476">
        <f>IF('Market Penetration'!D9=0,0,1000*D9*'Market Data'!$E$51/('Market Penetration'!D9*'Market Data'!$C$51))</f>
        <v>0</v>
      </c>
      <c r="AA9" s="794">
        <f>IF('Market Penetration'!E9=0,0,1000*E9*'Market Data'!$E$51/('Market Penetration'!E9*'Market Data'!$C$51))</f>
        <v>0</v>
      </c>
      <c r="AB9" s="476">
        <f>IF('Market Penetration'!F9=0,0,1000*F9*'Market Data'!$E$51/('Market Penetration'!F9*'Market Data'!$C$51))</f>
        <v>0</v>
      </c>
      <c r="AC9" s="789">
        <f>IF('Market Penetration'!G9=0,0,1000*G9*'Market Data'!$E$51/('Market Penetration'!G9*'Market Data'!$C$51))</f>
        <v>0</v>
      </c>
      <c r="AD9" s="475">
        <f>IF('Market Penetration'!H9=0,0,1000*H9*'Market Data'!$O$51/('Market Penetration'!H9*'Market Data'!$M$51))</f>
        <v>76984.800905352895</v>
      </c>
      <c r="AE9" s="476">
        <f>IF('Market Penetration'!I9=0,0,1000*I9*'Market Data'!$O$51/('Market Penetration'!I9*'Market Data'!$M$51))</f>
        <v>0</v>
      </c>
      <c r="AF9" s="476">
        <f>IF('Market Penetration'!J9=0,0,1000*J9*'Market Data'!$O$51/('Market Penetration'!J9*'Market Data'!$M$51))</f>
        <v>0</v>
      </c>
      <c r="AG9" s="476">
        <f>IF('Market Penetration'!K9=0,0,1000*K9*'Market Data'!$O$51/('Market Penetration'!K9*'Market Data'!$M$51))</f>
        <v>0</v>
      </c>
      <c r="AH9" s="476">
        <f>IF('Market Penetration'!L9=0,0,1000*L9*'Market Data'!$O$51/('Market Penetration'!L9*'Market Data'!$M$51))</f>
        <v>0</v>
      </c>
      <c r="AI9" s="477">
        <f>IF('Market Penetration'!M9=0,0,1000*M9*'Market Data'!$O$51/('Market Penetration'!M9*'Market Data'!$M$51))</f>
        <v>0</v>
      </c>
      <c r="AJ9" s="475">
        <f>IF('Market Penetration'!N9=0,0,1000*N9*'Market Data'!$Y$51/('Market Penetration'!N9*'Market Data'!$W$51))</f>
        <v>27261.021505205488</v>
      </c>
      <c r="AK9" s="476">
        <f>IF('Market Penetration'!O9=0,0,1000*O9*'Market Data'!$Y$51/('Market Penetration'!O9*'Market Data'!$W$51))</f>
        <v>0</v>
      </c>
      <c r="AL9" s="476">
        <f>IF('Market Penetration'!P9=0,0,1000*P9*'Market Data'!$Y$51/('Market Penetration'!P9*'Market Data'!$W$51))</f>
        <v>0</v>
      </c>
      <c r="AM9" s="794">
        <f>IF('Market Penetration'!Q9=0,0,1000*Q9*'Market Data'!$Y$51/('Market Penetration'!Q9*'Market Data'!$W$51))</f>
        <v>0</v>
      </c>
      <c r="AN9" s="476">
        <f>IF('Market Penetration'!R9=0,0,1000*R9*'Market Data'!$Y$51/('Market Penetration'!R9*'Market Data'!$W$51))</f>
        <v>0</v>
      </c>
      <c r="AO9" s="789">
        <f>IF('Market Penetration'!S9=0,0,1000*S9*'Market Data'!$Y$51/('Market Penetration'!S9*'Market Data'!$W$51))</f>
        <v>0</v>
      </c>
      <c r="AP9" s="475">
        <f>IF('Market Penetration'!T9=0,0,1000*T9*('Market Data'!$E$51+'Market Data'!$O$51+'Market Data'!$Y$51)/('Market Penetration'!T9*('Market Data'!$C$51+'Market Data'!$M$51+'Market Data'!$W$51)))</f>
        <v>74129.118937560706</v>
      </c>
      <c r="AQ9" s="477">
        <f>IF('Market Penetration'!U9=0,0,1000*U9*('Market Data'!$E$51+'Market Data'!$O$51+'Market Data'!$Y$51)/('Market Penetration'!U9*('Market Data'!$C$51+'Market Data'!$M$51+'Market Data'!$W$51)))</f>
        <v>0</v>
      </c>
    </row>
    <row r="10" spans="1:43" ht="15" x14ac:dyDescent="0.25">
      <c r="A10" s="421">
        <v>2008</v>
      </c>
      <c r="B10" s="441">
        <f t="shared" ref="B10:B52" si="12">1-SUM(C10:G10)</f>
        <v>1</v>
      </c>
      <c r="C10" s="442">
        <f>'7&amp;8 Sleep'!$M77+'7&amp;8 Sleep'!$Z77</f>
        <v>0</v>
      </c>
      <c r="D10" s="442">
        <f>'7&amp;8 Sleep'!$M129+'7&amp;8 Sleep'!$Z129</f>
        <v>0</v>
      </c>
      <c r="E10" s="800">
        <f>'7&amp;8 Sleep'!$M181+'7&amp;8 Sleep'!$Z181</f>
        <v>0</v>
      </c>
      <c r="F10" s="442">
        <f>'7&amp;8 Sleep'!$M234+'7&amp;8 Sleep'!$Z234</f>
        <v>0</v>
      </c>
      <c r="G10" s="758">
        <f>'7&amp;8 Sleep'!$M287+'7&amp;8 Sleep'!$Z287</f>
        <v>0</v>
      </c>
      <c r="H10" s="959">
        <f t="shared" ref="H10:H52" si="13">1-SUM(I10:M10)</f>
        <v>1</v>
      </c>
      <c r="I10" s="758">
        <f>'7&amp;8 Day'!$M77+'7&amp;8 Day'!$Z77</f>
        <v>0</v>
      </c>
      <c r="J10" s="758">
        <f>'7&amp;8 Day'!$M129+'7&amp;8 Day'!$Z129</f>
        <v>0</v>
      </c>
      <c r="K10" s="758">
        <f>'7&amp;8 Day'!$M181+'7&amp;8 Day'!$Z181</f>
        <v>0</v>
      </c>
      <c r="L10" s="758">
        <f>'7&amp;8 Day'!$M234+'7&amp;8 Day'!$Z234</f>
        <v>0</v>
      </c>
      <c r="M10" s="805">
        <f>'7&amp;8 Day'!$M287+'7&amp;8 Day'!$Z287</f>
        <v>0</v>
      </c>
      <c r="N10" s="441">
        <f t="shared" ref="N10:N52" si="14">1-SUM(O10:S10)</f>
        <v>1</v>
      </c>
      <c r="O10" s="442">
        <f>'7&amp;8 SU'!$M77+'7&amp;8 SU'!$Z77</f>
        <v>0</v>
      </c>
      <c r="P10" s="442">
        <f>'7&amp;8 SU'!$M129+'7&amp;8 SU'!$Z129</f>
        <v>0</v>
      </c>
      <c r="Q10" s="800">
        <f>'7&amp;8 SU'!$M181+'7&amp;8 SU'!$Z181</f>
        <v>0</v>
      </c>
      <c r="R10" s="442">
        <f>'7&amp;8 SU'!$M234+'7&amp;8 SU'!$Z234</f>
        <v>0</v>
      </c>
      <c r="S10" s="758">
        <f>'7&amp;8 SU'!$M287+'7&amp;8 SU'!$Z287</f>
        <v>0</v>
      </c>
      <c r="T10" s="441">
        <f>B10*'Market Data'!$E$52+N10*'Market Data'!$O$52</f>
        <v>0.91032159271242163</v>
      </c>
      <c r="U10" s="443">
        <f>SUM(C10:G10)*'Market Data'!$E$52+SUM(O10:S10)*'Market Data'!$O$52</f>
        <v>0</v>
      </c>
      <c r="W10" s="421">
        <v>2008</v>
      </c>
      <c r="X10" s="478">
        <f>IF('Market Penetration'!B10=0,0,1000*B10*'Market Data'!$E$51/('Market Penetration'!B10*'Market Data'!$C$51))</f>
        <v>114290.39175651137</v>
      </c>
      <c r="Y10" s="479">
        <f>IF('Market Penetration'!C10=0,0,1000*C10*'Market Data'!$E$51/('Market Penetration'!C10*'Market Data'!$C$51))</f>
        <v>0</v>
      </c>
      <c r="Z10" s="479">
        <f>IF('Market Penetration'!D10=0,0,1000*D10*'Market Data'!$E$51/('Market Penetration'!D10*'Market Data'!$C$51))</f>
        <v>0</v>
      </c>
      <c r="AA10" s="795">
        <f>IF('Market Penetration'!E10=0,0,1000*E10*'Market Data'!$E$51/('Market Penetration'!E10*'Market Data'!$C$51))</f>
        <v>0</v>
      </c>
      <c r="AB10" s="479">
        <f>IF('Market Penetration'!F10=0,0,1000*F10*'Market Data'!$E$51/('Market Penetration'!F10*'Market Data'!$C$51))</f>
        <v>0</v>
      </c>
      <c r="AC10" s="790">
        <f>IF('Market Penetration'!G10=0,0,1000*G10*'Market Data'!$E$51/('Market Penetration'!G10*'Market Data'!$C$51))</f>
        <v>0</v>
      </c>
      <c r="AD10" s="478">
        <f>IF('Market Penetration'!H10=0,0,1000*H10*'Market Data'!$O$51/('Market Penetration'!H10*'Market Data'!$M$51))</f>
        <v>76984.800905352895</v>
      </c>
      <c r="AE10" s="479">
        <f>IF('Market Penetration'!I10=0,0,1000*I10*'Market Data'!$O$51/('Market Penetration'!I10*'Market Data'!$M$51))</f>
        <v>0</v>
      </c>
      <c r="AF10" s="479">
        <f>IF('Market Penetration'!J10=0,0,1000*J10*'Market Data'!$O$51/('Market Penetration'!J10*'Market Data'!$M$51))</f>
        <v>0</v>
      </c>
      <c r="AG10" s="479">
        <f>IF('Market Penetration'!K10=0,0,1000*K10*'Market Data'!$O$51/('Market Penetration'!K10*'Market Data'!$M$51))</f>
        <v>0</v>
      </c>
      <c r="AH10" s="479">
        <f>IF('Market Penetration'!L10=0,0,1000*L10*'Market Data'!$O$51/('Market Penetration'!L10*'Market Data'!$M$51))</f>
        <v>0</v>
      </c>
      <c r="AI10" s="480">
        <f>IF('Market Penetration'!M10=0,0,1000*M10*'Market Data'!$O$51/('Market Penetration'!M10*'Market Data'!$M$51))</f>
        <v>0</v>
      </c>
      <c r="AJ10" s="478">
        <f>IF('Market Penetration'!N10=0,0,1000*N10*'Market Data'!$Y$51/('Market Penetration'!N10*'Market Data'!$W$51))</f>
        <v>27261.021505205488</v>
      </c>
      <c r="AK10" s="479">
        <f>IF('Market Penetration'!O10=0,0,1000*O10*'Market Data'!$Y$51/('Market Penetration'!O10*'Market Data'!$W$51))</f>
        <v>0</v>
      </c>
      <c r="AL10" s="479">
        <f>IF('Market Penetration'!P10=0,0,1000*P10*'Market Data'!$Y$51/('Market Penetration'!P10*'Market Data'!$W$51))</f>
        <v>0</v>
      </c>
      <c r="AM10" s="795">
        <f>IF('Market Penetration'!Q10=0,0,1000*Q10*'Market Data'!$Y$51/('Market Penetration'!Q10*'Market Data'!$W$51))</f>
        <v>0</v>
      </c>
      <c r="AN10" s="479">
        <f>IF('Market Penetration'!R10=0,0,1000*R10*'Market Data'!$Y$51/('Market Penetration'!R10*'Market Data'!$W$51))</f>
        <v>0</v>
      </c>
      <c r="AO10" s="790">
        <f>IF('Market Penetration'!S10=0,0,1000*S10*'Market Data'!$Y$51/('Market Penetration'!S10*'Market Data'!$W$51))</f>
        <v>0</v>
      </c>
      <c r="AP10" s="478">
        <f>IF('Market Penetration'!T10=0,0,1000*T10*('Market Data'!$E$51+'Market Data'!$O$51+'Market Data'!$Y$51)/('Market Penetration'!T10*('Market Data'!$C$51+'Market Data'!$M$51+'Market Data'!$W$51)))</f>
        <v>74129.118937560706</v>
      </c>
      <c r="AQ10" s="480">
        <f>IF('Market Penetration'!U10=0,0,1000*U10*('Market Data'!$E$51+'Market Data'!$O$51+'Market Data'!$Y$51)/('Market Penetration'!U10*('Market Data'!$C$51+'Market Data'!$M$51+'Market Data'!$W$51)))</f>
        <v>0</v>
      </c>
    </row>
    <row r="11" spans="1:43" ht="15" x14ac:dyDescent="0.25">
      <c r="A11" s="421">
        <v>2009</v>
      </c>
      <c r="B11" s="441">
        <f t="shared" si="12"/>
        <v>1</v>
      </c>
      <c r="C11" s="442">
        <f>'7&amp;8 Sleep'!$M78+'7&amp;8 Sleep'!$Z78</f>
        <v>0</v>
      </c>
      <c r="D11" s="442">
        <f>'7&amp;8 Sleep'!$M130+'7&amp;8 Sleep'!$Z130</f>
        <v>0</v>
      </c>
      <c r="E11" s="800">
        <f>'7&amp;8 Sleep'!$M182+'7&amp;8 Sleep'!$Z182</f>
        <v>0</v>
      </c>
      <c r="F11" s="442">
        <f>'7&amp;8 Sleep'!$M235+'7&amp;8 Sleep'!$Z235</f>
        <v>0</v>
      </c>
      <c r="G11" s="758">
        <f>'7&amp;8 Sleep'!$M288+'7&amp;8 Sleep'!$Z288</f>
        <v>0</v>
      </c>
      <c r="H11" s="959">
        <f t="shared" si="13"/>
        <v>1</v>
      </c>
      <c r="I11" s="758">
        <f>'7&amp;8 Day'!$M78+'7&amp;8 Day'!$Z78</f>
        <v>0</v>
      </c>
      <c r="J11" s="758">
        <f>'7&amp;8 Day'!$M130+'7&amp;8 Day'!$Z130</f>
        <v>0</v>
      </c>
      <c r="K11" s="758">
        <f>'7&amp;8 Day'!$M182+'7&amp;8 Day'!$Z182</f>
        <v>0</v>
      </c>
      <c r="L11" s="758">
        <f>'7&amp;8 Day'!$M235+'7&amp;8 Day'!$Z235</f>
        <v>0</v>
      </c>
      <c r="M11" s="805">
        <f>'7&amp;8 Day'!$M288+'7&amp;8 Day'!$Z288</f>
        <v>0</v>
      </c>
      <c r="N11" s="441">
        <f t="shared" si="14"/>
        <v>1</v>
      </c>
      <c r="O11" s="442">
        <f>'7&amp;8 SU'!$M78+'7&amp;8 SU'!$Z78</f>
        <v>0</v>
      </c>
      <c r="P11" s="442">
        <f>'7&amp;8 SU'!$M130+'7&amp;8 SU'!$Z130</f>
        <v>0</v>
      </c>
      <c r="Q11" s="800">
        <f>'7&amp;8 SU'!$M182+'7&amp;8 SU'!$Z182</f>
        <v>0</v>
      </c>
      <c r="R11" s="442">
        <f>'7&amp;8 SU'!$M235+'7&amp;8 SU'!$Z235</f>
        <v>0</v>
      </c>
      <c r="S11" s="758">
        <f>'7&amp;8 SU'!$M288+'7&amp;8 SU'!$Z288</f>
        <v>0</v>
      </c>
      <c r="T11" s="441">
        <f>B11*'Market Data'!$E$52+N11*'Market Data'!$O$52</f>
        <v>0.91032159271242163</v>
      </c>
      <c r="U11" s="443">
        <f>SUM(C11:G11)*'Market Data'!$E$52+SUM(O11:S11)*'Market Data'!$O$52</f>
        <v>0</v>
      </c>
      <c r="W11" s="421">
        <v>2009</v>
      </c>
      <c r="X11" s="478">
        <f>IF('Market Penetration'!B11=0,0,1000*B11*'Market Data'!$E$51/('Market Penetration'!B11*'Market Data'!$C$51))</f>
        <v>114290.39175651137</v>
      </c>
      <c r="Y11" s="479">
        <f>IF('Market Penetration'!C11=0,0,1000*C11*'Market Data'!$E$51/('Market Penetration'!C11*'Market Data'!$C$51))</f>
        <v>0</v>
      </c>
      <c r="Z11" s="479">
        <f>IF('Market Penetration'!D11=0,0,1000*D11*'Market Data'!$E$51/('Market Penetration'!D11*'Market Data'!$C$51))</f>
        <v>0</v>
      </c>
      <c r="AA11" s="795">
        <f>IF('Market Penetration'!E11=0,0,1000*E11*'Market Data'!$E$51/('Market Penetration'!E11*'Market Data'!$C$51))</f>
        <v>0</v>
      </c>
      <c r="AB11" s="479">
        <f>IF('Market Penetration'!F11=0,0,1000*F11*'Market Data'!$E$51/('Market Penetration'!F11*'Market Data'!$C$51))</f>
        <v>0</v>
      </c>
      <c r="AC11" s="790">
        <f>IF('Market Penetration'!G11=0,0,1000*G11*'Market Data'!$E$51/('Market Penetration'!G11*'Market Data'!$C$51))</f>
        <v>0</v>
      </c>
      <c r="AD11" s="478">
        <f>IF('Market Penetration'!H11=0,0,1000*H11*'Market Data'!$O$51/('Market Penetration'!H11*'Market Data'!$M$51))</f>
        <v>76984.800905352895</v>
      </c>
      <c r="AE11" s="479">
        <f>IF('Market Penetration'!I11=0,0,1000*I11*'Market Data'!$O$51/('Market Penetration'!I11*'Market Data'!$M$51))</f>
        <v>0</v>
      </c>
      <c r="AF11" s="479">
        <f>IF('Market Penetration'!J11=0,0,1000*J11*'Market Data'!$O$51/('Market Penetration'!J11*'Market Data'!$M$51))</f>
        <v>0</v>
      </c>
      <c r="AG11" s="479">
        <f>IF('Market Penetration'!K11=0,0,1000*K11*'Market Data'!$O$51/('Market Penetration'!K11*'Market Data'!$M$51))</f>
        <v>0</v>
      </c>
      <c r="AH11" s="479">
        <f>IF('Market Penetration'!L11=0,0,1000*L11*'Market Data'!$O$51/('Market Penetration'!L11*'Market Data'!$M$51))</f>
        <v>0</v>
      </c>
      <c r="AI11" s="480">
        <f>IF('Market Penetration'!M11=0,0,1000*M11*'Market Data'!$O$51/('Market Penetration'!M11*'Market Data'!$M$51))</f>
        <v>0</v>
      </c>
      <c r="AJ11" s="478">
        <f>IF('Market Penetration'!N11=0,0,1000*N11*'Market Data'!$Y$51/('Market Penetration'!N11*'Market Data'!$W$51))</f>
        <v>27261.021505205488</v>
      </c>
      <c r="AK11" s="479">
        <f>IF('Market Penetration'!O11=0,0,1000*O11*'Market Data'!$Y$51/('Market Penetration'!O11*'Market Data'!$W$51))</f>
        <v>0</v>
      </c>
      <c r="AL11" s="479">
        <f>IF('Market Penetration'!P11=0,0,1000*P11*'Market Data'!$Y$51/('Market Penetration'!P11*'Market Data'!$W$51))</f>
        <v>0</v>
      </c>
      <c r="AM11" s="795">
        <f>IF('Market Penetration'!Q11=0,0,1000*Q11*'Market Data'!$Y$51/('Market Penetration'!Q11*'Market Data'!$W$51))</f>
        <v>0</v>
      </c>
      <c r="AN11" s="479">
        <f>IF('Market Penetration'!R11=0,0,1000*R11*'Market Data'!$Y$51/('Market Penetration'!R11*'Market Data'!$W$51))</f>
        <v>0</v>
      </c>
      <c r="AO11" s="790">
        <f>IF('Market Penetration'!S11=0,0,1000*S11*'Market Data'!$Y$51/('Market Penetration'!S11*'Market Data'!$W$51))</f>
        <v>0</v>
      </c>
      <c r="AP11" s="478">
        <f>IF('Market Penetration'!T11=0,0,1000*T11*('Market Data'!$E$51+'Market Data'!$O$51+'Market Data'!$Y$51)/('Market Penetration'!T11*('Market Data'!$C$51+'Market Data'!$M$51+'Market Data'!$W$51)))</f>
        <v>74129.118937560706</v>
      </c>
      <c r="AQ11" s="480">
        <f>IF('Market Penetration'!U11=0,0,1000*U11*('Market Data'!$E$51+'Market Data'!$O$51+'Market Data'!$Y$51)/('Market Penetration'!U11*('Market Data'!$C$51+'Market Data'!$M$51+'Market Data'!$W$51)))</f>
        <v>0</v>
      </c>
    </row>
    <row r="12" spans="1:43" ht="15" x14ac:dyDescent="0.25">
      <c r="A12" s="421">
        <v>2010</v>
      </c>
      <c r="B12" s="444">
        <f t="shared" si="12"/>
        <v>1</v>
      </c>
      <c r="C12" s="445">
        <f>'7&amp;8 Sleep'!$M79+'7&amp;8 Sleep'!$Z79</f>
        <v>0</v>
      </c>
      <c r="D12" s="445">
        <f>'7&amp;8 Sleep'!$M131+'7&amp;8 Sleep'!$Z131</f>
        <v>0</v>
      </c>
      <c r="E12" s="801">
        <f>'7&amp;8 Sleep'!$M183+'7&amp;8 Sleep'!$Z183</f>
        <v>0</v>
      </c>
      <c r="F12" s="445">
        <f>'7&amp;8 Sleep'!$M236+'7&amp;8 Sleep'!$Z236</f>
        <v>0</v>
      </c>
      <c r="G12" s="759">
        <f>'7&amp;8 Sleep'!$M289+'7&amp;8 Sleep'!$Z289</f>
        <v>0</v>
      </c>
      <c r="H12" s="960">
        <f t="shared" si="13"/>
        <v>1</v>
      </c>
      <c r="I12" s="759">
        <f>'7&amp;8 Day'!$M79+'7&amp;8 Day'!$Z79</f>
        <v>0</v>
      </c>
      <c r="J12" s="759">
        <f>'7&amp;8 Day'!$M131+'7&amp;8 Day'!$Z131</f>
        <v>0</v>
      </c>
      <c r="K12" s="759">
        <f>'7&amp;8 Day'!$M183+'7&amp;8 Day'!$Z183</f>
        <v>0</v>
      </c>
      <c r="L12" s="759">
        <f>'7&amp;8 Day'!$M236+'7&amp;8 Day'!$Z236</f>
        <v>0</v>
      </c>
      <c r="M12" s="806">
        <f>'7&amp;8 Day'!$M289+'7&amp;8 Day'!$Z289</f>
        <v>0</v>
      </c>
      <c r="N12" s="444">
        <f t="shared" si="14"/>
        <v>1</v>
      </c>
      <c r="O12" s="445">
        <f>'7&amp;8 SU'!$M79+'7&amp;8 SU'!$Z79</f>
        <v>0</v>
      </c>
      <c r="P12" s="445">
        <f>'7&amp;8 SU'!$M131+'7&amp;8 SU'!$Z131</f>
        <v>0</v>
      </c>
      <c r="Q12" s="801">
        <f>'7&amp;8 SU'!$M183+'7&amp;8 SU'!$Z183</f>
        <v>0</v>
      </c>
      <c r="R12" s="445">
        <f>'7&amp;8 SU'!$M236+'7&amp;8 SU'!$Z236</f>
        <v>0</v>
      </c>
      <c r="S12" s="759">
        <f>'7&amp;8 SU'!$M289+'7&amp;8 SU'!$Z289</f>
        <v>0</v>
      </c>
      <c r="T12" s="444">
        <f>B12*'Market Data'!$E$52+N12*'Market Data'!$O$52</f>
        <v>0.91032159271242163</v>
      </c>
      <c r="U12" s="446">
        <f>SUM(C12:G12)*'Market Data'!$E$52+SUM(O12:S12)*'Market Data'!$O$52</f>
        <v>0</v>
      </c>
      <c r="W12" s="421">
        <v>2010</v>
      </c>
      <c r="X12" s="481">
        <f>IF('Market Penetration'!B12=0,0,1000*B12*'Market Data'!$E$51/('Market Penetration'!B12*'Market Data'!$C$51))</f>
        <v>114290.39175651137</v>
      </c>
      <c r="Y12" s="482">
        <f>IF('Market Penetration'!C12=0,0,1000*C12*'Market Data'!$E$51/('Market Penetration'!C12*'Market Data'!$C$51))</f>
        <v>0</v>
      </c>
      <c r="Z12" s="482">
        <f>IF('Market Penetration'!D12=0,0,1000*D12*'Market Data'!$E$51/('Market Penetration'!D12*'Market Data'!$C$51))</f>
        <v>0</v>
      </c>
      <c r="AA12" s="796">
        <f>IF('Market Penetration'!E12=0,0,1000*E12*'Market Data'!$E$51/('Market Penetration'!E12*'Market Data'!$C$51))</f>
        <v>0</v>
      </c>
      <c r="AB12" s="482">
        <f>IF('Market Penetration'!F12=0,0,1000*F12*'Market Data'!$E$51/('Market Penetration'!F12*'Market Data'!$C$51))</f>
        <v>0</v>
      </c>
      <c r="AC12" s="791">
        <f>IF('Market Penetration'!G12=0,0,1000*G12*'Market Data'!$E$51/('Market Penetration'!G12*'Market Data'!$C$51))</f>
        <v>0</v>
      </c>
      <c r="AD12" s="481">
        <f>IF('Market Penetration'!H12=0,0,1000*H12*'Market Data'!$O$51/('Market Penetration'!H12*'Market Data'!$M$51))</f>
        <v>76984.800905352895</v>
      </c>
      <c r="AE12" s="482">
        <f>IF('Market Penetration'!I12=0,0,1000*I12*'Market Data'!$O$51/('Market Penetration'!I12*'Market Data'!$M$51))</f>
        <v>0</v>
      </c>
      <c r="AF12" s="482">
        <f>IF('Market Penetration'!J12=0,0,1000*J12*'Market Data'!$O$51/('Market Penetration'!J12*'Market Data'!$M$51))</f>
        <v>0</v>
      </c>
      <c r="AG12" s="482">
        <f>IF('Market Penetration'!K12=0,0,1000*K12*'Market Data'!$O$51/('Market Penetration'!K12*'Market Data'!$M$51))</f>
        <v>0</v>
      </c>
      <c r="AH12" s="482">
        <f>IF('Market Penetration'!L12=0,0,1000*L12*'Market Data'!$O$51/('Market Penetration'!L12*'Market Data'!$M$51))</f>
        <v>0</v>
      </c>
      <c r="AI12" s="483">
        <f>IF('Market Penetration'!M12=0,0,1000*M12*'Market Data'!$O$51/('Market Penetration'!M12*'Market Data'!$M$51))</f>
        <v>0</v>
      </c>
      <c r="AJ12" s="481">
        <f>IF('Market Penetration'!N12=0,0,1000*N12*'Market Data'!$Y$51/('Market Penetration'!N12*'Market Data'!$W$51))</f>
        <v>27261.021505205488</v>
      </c>
      <c r="AK12" s="482">
        <f>IF('Market Penetration'!O12=0,0,1000*O12*'Market Data'!$Y$51/('Market Penetration'!O12*'Market Data'!$W$51))</f>
        <v>0</v>
      </c>
      <c r="AL12" s="482">
        <f>IF('Market Penetration'!P12=0,0,1000*P12*'Market Data'!$Y$51/('Market Penetration'!P12*'Market Data'!$W$51))</f>
        <v>0</v>
      </c>
      <c r="AM12" s="796">
        <f>IF('Market Penetration'!Q12=0,0,1000*Q12*'Market Data'!$Y$51/('Market Penetration'!Q12*'Market Data'!$W$51))</f>
        <v>0</v>
      </c>
      <c r="AN12" s="482">
        <f>IF('Market Penetration'!R12=0,0,1000*R12*'Market Data'!$Y$51/('Market Penetration'!R12*'Market Data'!$W$51))</f>
        <v>0</v>
      </c>
      <c r="AO12" s="791">
        <f>IF('Market Penetration'!S12=0,0,1000*S12*'Market Data'!$Y$51/('Market Penetration'!S12*'Market Data'!$W$51))</f>
        <v>0</v>
      </c>
      <c r="AP12" s="481">
        <f>IF('Market Penetration'!T12=0,0,1000*T12*('Market Data'!$E$51+'Market Data'!$O$51+'Market Data'!$Y$51)/('Market Penetration'!T12*('Market Data'!$C$51+'Market Data'!$M$51+'Market Data'!$W$51)))</f>
        <v>74129.118937560706</v>
      </c>
      <c r="AQ12" s="483">
        <f>IF('Market Penetration'!U12=0,0,1000*U12*('Market Data'!$E$51+'Market Data'!$O$51+'Market Data'!$Y$51)/('Market Penetration'!U12*('Market Data'!$C$51+'Market Data'!$M$51+'Market Data'!$W$51)))</f>
        <v>0</v>
      </c>
    </row>
    <row r="13" spans="1:43" ht="15" x14ac:dyDescent="0.25">
      <c r="A13" s="447">
        <v>2011</v>
      </c>
      <c r="B13" s="448">
        <f t="shared" si="12"/>
        <v>1</v>
      </c>
      <c r="C13" s="449">
        <f>'7&amp;8 Sleep'!$M80+'7&amp;8 Sleep'!$Z80</f>
        <v>0</v>
      </c>
      <c r="D13" s="449">
        <f>'7&amp;8 Sleep'!$M132+'7&amp;8 Sleep'!$Z132</f>
        <v>0</v>
      </c>
      <c r="E13" s="802">
        <f>'7&amp;8 Sleep'!$M184+'7&amp;8 Sleep'!$Z184</f>
        <v>0</v>
      </c>
      <c r="F13" s="449">
        <f>'7&amp;8 Sleep'!$M237+'7&amp;8 Sleep'!$Z237</f>
        <v>0</v>
      </c>
      <c r="G13" s="760">
        <f>'7&amp;8 Sleep'!$M290+'7&amp;8 Sleep'!$Z290</f>
        <v>0</v>
      </c>
      <c r="H13" s="961">
        <f t="shared" si="13"/>
        <v>1</v>
      </c>
      <c r="I13" s="760">
        <f>'7&amp;8 Day'!$M80+'7&amp;8 Day'!$Z80</f>
        <v>0</v>
      </c>
      <c r="J13" s="760">
        <f>'7&amp;8 Day'!$M132+'7&amp;8 Day'!$Z132</f>
        <v>0</v>
      </c>
      <c r="K13" s="760">
        <f>'7&amp;8 Day'!$M184+'7&amp;8 Day'!$Z184</f>
        <v>0</v>
      </c>
      <c r="L13" s="760">
        <f>'7&amp;8 Day'!$M237+'7&amp;8 Day'!$Z237</f>
        <v>0</v>
      </c>
      <c r="M13" s="807">
        <f>'7&amp;8 Day'!$M290+'7&amp;8 Day'!$Z290</f>
        <v>0</v>
      </c>
      <c r="N13" s="448">
        <f t="shared" si="14"/>
        <v>1</v>
      </c>
      <c r="O13" s="449">
        <f>'7&amp;8 SU'!$M80+'7&amp;8 SU'!$Z80</f>
        <v>0</v>
      </c>
      <c r="P13" s="449">
        <f>'7&amp;8 SU'!$M132+'7&amp;8 SU'!$Z132</f>
        <v>0</v>
      </c>
      <c r="Q13" s="802">
        <f>'7&amp;8 SU'!$M184+'7&amp;8 SU'!$Z184</f>
        <v>0</v>
      </c>
      <c r="R13" s="449">
        <f>'7&amp;8 SU'!$M237+'7&amp;8 SU'!$Z237</f>
        <v>0</v>
      </c>
      <c r="S13" s="760">
        <f>'7&amp;8 SU'!$M290+'7&amp;8 SU'!$Z290</f>
        <v>0</v>
      </c>
      <c r="T13" s="451">
        <f>B13*'Market Data'!$E$52+N13*'Market Data'!$O$52</f>
        <v>0.91032159271242163</v>
      </c>
      <c r="U13" s="452">
        <f>SUM(C13:G13)*'Market Data'!$E$52+SUM(O13:S13)*'Market Data'!$O$52</f>
        <v>0</v>
      </c>
      <c r="W13" s="447">
        <v>2011</v>
      </c>
      <c r="X13" s="484">
        <f>IF('Market Penetration'!B13=0,0,1000*B13*'Market Data'!$E$51/('Market Penetration'!B13*'Market Data'!$C$51))</f>
        <v>114290.39175651137</v>
      </c>
      <c r="Y13" s="485">
        <f>IF('Market Penetration'!C13=0,0,1000*C13*'Market Data'!$E$51/('Market Penetration'!C13*'Market Data'!$C$51))</f>
        <v>0</v>
      </c>
      <c r="Z13" s="485">
        <f>IF('Market Penetration'!D13=0,0,1000*D13*'Market Data'!$E$51/('Market Penetration'!D13*'Market Data'!$C$51))</f>
        <v>0</v>
      </c>
      <c r="AA13" s="797">
        <f>IF('Market Penetration'!E13=0,0,1000*E13*'Market Data'!$E$51/('Market Penetration'!E13*'Market Data'!$C$51))</f>
        <v>0</v>
      </c>
      <c r="AB13" s="485">
        <f>IF('Market Penetration'!F13=0,0,1000*F13*'Market Data'!$E$51/('Market Penetration'!F13*'Market Data'!$C$51))</f>
        <v>0</v>
      </c>
      <c r="AC13" s="792">
        <f>IF('Market Penetration'!G13=0,0,1000*G13*'Market Data'!$E$51/('Market Penetration'!G13*'Market Data'!$C$51))</f>
        <v>0</v>
      </c>
      <c r="AD13" s="484">
        <f>IF('Market Penetration'!H13=0,0,1000*H13*'Market Data'!$O$51/('Market Penetration'!H13*'Market Data'!$M$51))</f>
        <v>76984.800905352895</v>
      </c>
      <c r="AE13" s="485">
        <f>IF('Market Penetration'!I13=0,0,1000*I13*'Market Data'!$O$51/('Market Penetration'!I13*'Market Data'!$M$51))</f>
        <v>0</v>
      </c>
      <c r="AF13" s="485">
        <f>IF('Market Penetration'!J13=0,0,1000*J13*'Market Data'!$O$51/('Market Penetration'!J13*'Market Data'!$M$51))</f>
        <v>0</v>
      </c>
      <c r="AG13" s="485">
        <f>IF('Market Penetration'!K13=0,0,1000*K13*'Market Data'!$O$51/('Market Penetration'!K13*'Market Data'!$M$51))</f>
        <v>0</v>
      </c>
      <c r="AH13" s="485">
        <f>IF('Market Penetration'!L13=0,0,1000*L13*'Market Data'!$O$51/('Market Penetration'!L13*'Market Data'!$M$51))</f>
        <v>0</v>
      </c>
      <c r="AI13" s="966">
        <f>IF('Market Penetration'!M13=0,0,1000*M13*'Market Data'!$O$51/('Market Penetration'!M13*'Market Data'!$M$51))</f>
        <v>0</v>
      </c>
      <c r="AJ13" s="484">
        <f>IF('Market Penetration'!N13=0,0,1000*N13*'Market Data'!$Y$51/('Market Penetration'!N13*'Market Data'!$W$51))</f>
        <v>27261.021505205488</v>
      </c>
      <c r="AK13" s="485">
        <f>IF('Market Penetration'!O13=0,0,1000*O13*'Market Data'!$Y$51/('Market Penetration'!O13*'Market Data'!$W$51))</f>
        <v>0</v>
      </c>
      <c r="AL13" s="485">
        <f>IF('Market Penetration'!P13=0,0,1000*P13*'Market Data'!$Y$51/('Market Penetration'!P13*'Market Data'!$W$51))</f>
        <v>0</v>
      </c>
      <c r="AM13" s="797">
        <f>IF('Market Penetration'!Q13=0,0,1000*Q13*'Market Data'!$Y$51/('Market Penetration'!Q13*'Market Data'!$W$51))</f>
        <v>0</v>
      </c>
      <c r="AN13" s="485">
        <f>IF('Market Penetration'!R13=0,0,1000*R13*'Market Data'!$Y$51/('Market Penetration'!R13*'Market Data'!$W$51))</f>
        <v>0</v>
      </c>
      <c r="AO13" s="792">
        <f>IF('Market Penetration'!S13=0,0,1000*S13*'Market Data'!$Y$51/('Market Penetration'!S13*'Market Data'!$W$51))</f>
        <v>0</v>
      </c>
      <c r="AP13" s="486">
        <f>IF('Market Penetration'!T13=0,0,1000*T13*('Market Data'!$E$51+'Market Data'!$O$51+'Market Data'!$Y$51)/('Market Penetration'!T13*('Market Data'!$C$51+'Market Data'!$M$51+'Market Data'!$W$51)))</f>
        <v>74129.118937560706</v>
      </c>
      <c r="AQ13" s="487">
        <f>IF('Market Penetration'!U13=0,0,1000*U13*('Market Data'!$E$51+'Market Data'!$O$51+'Market Data'!$Y$51)/('Market Penetration'!U13*('Market Data'!$C$51+'Market Data'!$M$51+'Market Data'!$W$51)))</f>
        <v>0</v>
      </c>
    </row>
    <row r="14" spans="1:43" ht="15" x14ac:dyDescent="0.25">
      <c r="A14" s="421">
        <v>2012</v>
      </c>
      <c r="B14" s="441">
        <f t="shared" si="12"/>
        <v>1</v>
      </c>
      <c r="C14" s="442">
        <f>'7&amp;8 Sleep'!$M81+'7&amp;8 Sleep'!$Z81</f>
        <v>0</v>
      </c>
      <c r="D14" s="442">
        <f>'7&amp;8 Sleep'!$M133+'7&amp;8 Sleep'!$Z133</f>
        <v>0</v>
      </c>
      <c r="E14" s="800">
        <f>'7&amp;8 Sleep'!$M185+'7&amp;8 Sleep'!$Z185</f>
        <v>0</v>
      </c>
      <c r="F14" s="442">
        <f>'7&amp;8 Sleep'!$M238+'7&amp;8 Sleep'!$Z238</f>
        <v>0</v>
      </c>
      <c r="G14" s="758">
        <f>'7&amp;8 Sleep'!$M291+'7&amp;8 Sleep'!$Z291</f>
        <v>0</v>
      </c>
      <c r="H14" s="959">
        <f t="shared" si="13"/>
        <v>1</v>
      </c>
      <c r="I14" s="758">
        <f>'7&amp;8 Day'!$M81+'7&amp;8 Day'!$Z81</f>
        <v>0</v>
      </c>
      <c r="J14" s="758">
        <f>'7&amp;8 Day'!$M133+'7&amp;8 Day'!$Z133</f>
        <v>0</v>
      </c>
      <c r="K14" s="758">
        <f>'7&amp;8 Day'!$M185+'7&amp;8 Day'!$Z185</f>
        <v>0</v>
      </c>
      <c r="L14" s="758">
        <f>'7&amp;8 Day'!$M238+'7&amp;8 Day'!$Z238</f>
        <v>0</v>
      </c>
      <c r="M14" s="805">
        <f>'7&amp;8 Day'!$M291+'7&amp;8 Day'!$Z291</f>
        <v>0</v>
      </c>
      <c r="N14" s="441">
        <f t="shared" si="14"/>
        <v>1</v>
      </c>
      <c r="O14" s="442">
        <f>'7&amp;8 SU'!$M81+'7&amp;8 SU'!$Z81</f>
        <v>0</v>
      </c>
      <c r="P14" s="442">
        <f>'7&amp;8 SU'!$M133+'7&amp;8 SU'!$Z133</f>
        <v>0</v>
      </c>
      <c r="Q14" s="800">
        <f>'7&amp;8 SU'!$M185+'7&amp;8 SU'!$Z185</f>
        <v>0</v>
      </c>
      <c r="R14" s="442">
        <f>'7&amp;8 SU'!$M238+'7&amp;8 SU'!$Z238</f>
        <v>0</v>
      </c>
      <c r="S14" s="758">
        <f>'7&amp;8 SU'!$M291+'7&amp;8 SU'!$Z291</f>
        <v>0</v>
      </c>
      <c r="T14" s="441">
        <f>B14*'Market Data'!$E$52+N14*'Market Data'!$O$52</f>
        <v>0.91032159271242163</v>
      </c>
      <c r="U14" s="443">
        <f>SUM(C14:G14)*'Market Data'!$E$52+SUM(O14:S14)*'Market Data'!$O$52</f>
        <v>0</v>
      </c>
      <c r="W14" s="421">
        <v>2012</v>
      </c>
      <c r="X14" s="478">
        <f>IF('Market Penetration'!B14=0,0,1000*B14*'Market Data'!$E$51/('Market Penetration'!B14*'Market Data'!$C$51))</f>
        <v>114290.39175651137</v>
      </c>
      <c r="Y14" s="479">
        <f>IF('Market Penetration'!C14=0,0,1000*C14*'Market Data'!$E$51/('Market Penetration'!C14*'Market Data'!$C$51))</f>
        <v>0</v>
      </c>
      <c r="Z14" s="479">
        <f>IF('Market Penetration'!D14=0,0,1000*D14*'Market Data'!$E$51/('Market Penetration'!D14*'Market Data'!$C$51))</f>
        <v>0</v>
      </c>
      <c r="AA14" s="795">
        <f>IF('Market Penetration'!E14=0,0,1000*E14*'Market Data'!$E$51/('Market Penetration'!E14*'Market Data'!$C$51))</f>
        <v>0</v>
      </c>
      <c r="AB14" s="479">
        <f>IF('Market Penetration'!F14=0,0,1000*F14*'Market Data'!$E$51/('Market Penetration'!F14*'Market Data'!$C$51))</f>
        <v>0</v>
      </c>
      <c r="AC14" s="790">
        <f>IF('Market Penetration'!G14=0,0,1000*G14*'Market Data'!$E$51/('Market Penetration'!G14*'Market Data'!$C$51))</f>
        <v>0</v>
      </c>
      <c r="AD14" s="478">
        <f>IF('Market Penetration'!H14=0,0,1000*H14*'Market Data'!$O$51/('Market Penetration'!H14*'Market Data'!$M$51))</f>
        <v>76984.800905352895</v>
      </c>
      <c r="AE14" s="479">
        <f>IF('Market Penetration'!I14=0,0,1000*I14*'Market Data'!$O$51/('Market Penetration'!I14*'Market Data'!$M$51))</f>
        <v>0</v>
      </c>
      <c r="AF14" s="479">
        <f>IF('Market Penetration'!J14=0,0,1000*J14*'Market Data'!$O$51/('Market Penetration'!J14*'Market Data'!$M$51))</f>
        <v>0</v>
      </c>
      <c r="AG14" s="479">
        <f>IF('Market Penetration'!K14=0,0,1000*K14*'Market Data'!$O$51/('Market Penetration'!K14*'Market Data'!$M$51))</f>
        <v>0</v>
      </c>
      <c r="AH14" s="479">
        <f>IF('Market Penetration'!L14=0,0,1000*L14*'Market Data'!$O$51/('Market Penetration'!L14*'Market Data'!$M$51))</f>
        <v>0</v>
      </c>
      <c r="AI14" s="480">
        <f>IF('Market Penetration'!M14=0,0,1000*M14*'Market Data'!$O$51/('Market Penetration'!M14*'Market Data'!$M$51))</f>
        <v>0</v>
      </c>
      <c r="AJ14" s="478">
        <f>IF('Market Penetration'!N14=0,0,1000*N14*'Market Data'!$Y$51/('Market Penetration'!N14*'Market Data'!$W$51))</f>
        <v>27261.021505205488</v>
      </c>
      <c r="AK14" s="479">
        <f>IF('Market Penetration'!O14=0,0,1000*O14*'Market Data'!$Y$51/('Market Penetration'!O14*'Market Data'!$W$51))</f>
        <v>0</v>
      </c>
      <c r="AL14" s="479">
        <f>IF('Market Penetration'!P14=0,0,1000*P14*'Market Data'!$Y$51/('Market Penetration'!P14*'Market Data'!$W$51))</f>
        <v>0</v>
      </c>
      <c r="AM14" s="795">
        <f>IF('Market Penetration'!Q14=0,0,1000*Q14*'Market Data'!$Y$51/('Market Penetration'!Q14*'Market Data'!$W$51))</f>
        <v>0</v>
      </c>
      <c r="AN14" s="479">
        <f>IF('Market Penetration'!R14=0,0,1000*R14*'Market Data'!$Y$51/('Market Penetration'!R14*'Market Data'!$W$51))</f>
        <v>0</v>
      </c>
      <c r="AO14" s="790">
        <f>IF('Market Penetration'!S14=0,0,1000*S14*'Market Data'!$Y$51/('Market Penetration'!S14*'Market Data'!$W$51))</f>
        <v>0</v>
      </c>
      <c r="AP14" s="478">
        <f>IF('Market Penetration'!T14=0,0,1000*T14*('Market Data'!$E$51+'Market Data'!$O$51+'Market Data'!$Y$51)/('Market Penetration'!T14*('Market Data'!$C$51+'Market Data'!$M$51+'Market Data'!$W$51)))</f>
        <v>74129.118937560706</v>
      </c>
      <c r="AQ14" s="480">
        <f>IF('Market Penetration'!U14=0,0,1000*U14*('Market Data'!$E$51+'Market Data'!$O$51+'Market Data'!$Y$51)/('Market Penetration'!U14*('Market Data'!$C$51+'Market Data'!$M$51+'Market Data'!$W$51)))</f>
        <v>0</v>
      </c>
    </row>
    <row r="15" spans="1:43" ht="15" x14ac:dyDescent="0.25">
      <c r="A15" s="421">
        <v>2013</v>
      </c>
      <c r="B15" s="441">
        <f t="shared" si="12"/>
        <v>1</v>
      </c>
      <c r="C15" s="442">
        <f>'7&amp;8 Sleep'!$M82+'7&amp;8 Sleep'!$Z82</f>
        <v>0</v>
      </c>
      <c r="D15" s="442">
        <f>'7&amp;8 Sleep'!$M134+'7&amp;8 Sleep'!$Z134</f>
        <v>0</v>
      </c>
      <c r="E15" s="800">
        <f>'7&amp;8 Sleep'!$M186+'7&amp;8 Sleep'!$Z186</f>
        <v>0</v>
      </c>
      <c r="F15" s="442">
        <f>'7&amp;8 Sleep'!$M239+'7&amp;8 Sleep'!$Z239</f>
        <v>0</v>
      </c>
      <c r="G15" s="758">
        <f>'7&amp;8 Sleep'!$M292+'7&amp;8 Sleep'!$Z292</f>
        <v>0</v>
      </c>
      <c r="H15" s="959">
        <f t="shared" si="13"/>
        <v>1</v>
      </c>
      <c r="I15" s="758">
        <f>'7&amp;8 Day'!$M82+'7&amp;8 Day'!$Z82</f>
        <v>0</v>
      </c>
      <c r="J15" s="758">
        <f>'7&amp;8 Day'!$M134+'7&amp;8 Day'!$Z134</f>
        <v>0</v>
      </c>
      <c r="K15" s="758">
        <f>'7&amp;8 Day'!$M186+'7&amp;8 Day'!$Z186</f>
        <v>0</v>
      </c>
      <c r="L15" s="758">
        <f>'7&amp;8 Day'!$M239+'7&amp;8 Day'!$Z239</f>
        <v>0</v>
      </c>
      <c r="M15" s="805">
        <f>'7&amp;8 Day'!$M292+'7&amp;8 Day'!$Z292</f>
        <v>0</v>
      </c>
      <c r="N15" s="441">
        <f t="shared" si="14"/>
        <v>1</v>
      </c>
      <c r="O15" s="442">
        <f>'7&amp;8 SU'!$M82+'7&amp;8 SU'!$Z82</f>
        <v>0</v>
      </c>
      <c r="P15" s="442">
        <f>'7&amp;8 SU'!$M134+'7&amp;8 SU'!$Z134</f>
        <v>0</v>
      </c>
      <c r="Q15" s="800">
        <f>'7&amp;8 SU'!$M186+'7&amp;8 SU'!$Z186</f>
        <v>0</v>
      </c>
      <c r="R15" s="442">
        <f>'7&amp;8 SU'!$M239+'7&amp;8 SU'!$Z239</f>
        <v>0</v>
      </c>
      <c r="S15" s="758">
        <f>'7&amp;8 SU'!$M292+'7&amp;8 SU'!$Z292</f>
        <v>0</v>
      </c>
      <c r="T15" s="441">
        <f>B15*'Market Data'!$E$52+N15*'Market Data'!$O$52</f>
        <v>0.91032159271242163</v>
      </c>
      <c r="U15" s="443">
        <f>SUM(C15:G15)*'Market Data'!$E$52+SUM(O15:S15)*'Market Data'!$O$52</f>
        <v>0</v>
      </c>
      <c r="W15" s="421">
        <v>2013</v>
      </c>
      <c r="X15" s="478">
        <f>IF('Market Penetration'!B15=0,0,1000*B15*'Market Data'!$E$51/('Market Penetration'!B15*'Market Data'!$C$51))</f>
        <v>114290.39175651137</v>
      </c>
      <c r="Y15" s="479">
        <f>IF('Market Penetration'!C15=0,0,1000*C15*'Market Data'!$E$51/('Market Penetration'!C15*'Market Data'!$C$51))</f>
        <v>0</v>
      </c>
      <c r="Z15" s="479">
        <f>IF('Market Penetration'!D15=0,0,1000*D15*'Market Data'!$E$51/('Market Penetration'!D15*'Market Data'!$C$51))</f>
        <v>0</v>
      </c>
      <c r="AA15" s="795">
        <f>IF('Market Penetration'!E15=0,0,1000*E15*'Market Data'!$E$51/('Market Penetration'!E15*'Market Data'!$C$51))</f>
        <v>0</v>
      </c>
      <c r="AB15" s="479">
        <f>IF('Market Penetration'!F15=0,0,1000*F15*'Market Data'!$E$51/('Market Penetration'!F15*'Market Data'!$C$51))</f>
        <v>0</v>
      </c>
      <c r="AC15" s="790">
        <f>IF('Market Penetration'!G15=0,0,1000*G15*'Market Data'!$E$51/('Market Penetration'!G15*'Market Data'!$C$51))</f>
        <v>0</v>
      </c>
      <c r="AD15" s="478">
        <f>IF('Market Penetration'!H15=0,0,1000*H15*'Market Data'!$O$51/('Market Penetration'!H15*'Market Data'!$M$51))</f>
        <v>76984.800905352895</v>
      </c>
      <c r="AE15" s="479">
        <f>IF('Market Penetration'!I15=0,0,1000*I15*'Market Data'!$O$51/('Market Penetration'!I15*'Market Data'!$M$51))</f>
        <v>0</v>
      </c>
      <c r="AF15" s="479">
        <f>IF('Market Penetration'!J15=0,0,1000*J15*'Market Data'!$O$51/('Market Penetration'!J15*'Market Data'!$M$51))</f>
        <v>0</v>
      </c>
      <c r="AG15" s="479">
        <f>IF('Market Penetration'!K15=0,0,1000*K15*'Market Data'!$O$51/('Market Penetration'!K15*'Market Data'!$M$51))</f>
        <v>0</v>
      </c>
      <c r="AH15" s="479">
        <f>IF('Market Penetration'!L15=0,0,1000*L15*'Market Data'!$O$51/('Market Penetration'!L15*'Market Data'!$M$51))</f>
        <v>0</v>
      </c>
      <c r="AI15" s="480">
        <f>IF('Market Penetration'!M15=0,0,1000*M15*'Market Data'!$O$51/('Market Penetration'!M15*'Market Data'!$M$51))</f>
        <v>0</v>
      </c>
      <c r="AJ15" s="478">
        <f>IF('Market Penetration'!N15=0,0,1000*N15*'Market Data'!$Y$51/('Market Penetration'!N15*'Market Data'!$W$51))</f>
        <v>27261.021505205488</v>
      </c>
      <c r="AK15" s="479">
        <f>IF('Market Penetration'!O15=0,0,1000*O15*'Market Data'!$Y$51/('Market Penetration'!O15*'Market Data'!$W$51))</f>
        <v>0</v>
      </c>
      <c r="AL15" s="479">
        <f>IF('Market Penetration'!P15=0,0,1000*P15*'Market Data'!$Y$51/('Market Penetration'!P15*'Market Data'!$W$51))</f>
        <v>0</v>
      </c>
      <c r="AM15" s="795">
        <f>IF('Market Penetration'!Q15=0,0,1000*Q15*'Market Data'!$Y$51/('Market Penetration'!Q15*'Market Data'!$W$51))</f>
        <v>0</v>
      </c>
      <c r="AN15" s="479">
        <f>IF('Market Penetration'!R15=0,0,1000*R15*'Market Data'!$Y$51/('Market Penetration'!R15*'Market Data'!$W$51))</f>
        <v>0</v>
      </c>
      <c r="AO15" s="790">
        <f>IF('Market Penetration'!S15=0,0,1000*S15*'Market Data'!$Y$51/('Market Penetration'!S15*'Market Data'!$W$51))</f>
        <v>0</v>
      </c>
      <c r="AP15" s="478">
        <f>IF('Market Penetration'!T15=0,0,1000*T15*('Market Data'!$E$51+'Market Data'!$O$51+'Market Data'!$Y$51)/('Market Penetration'!T15*('Market Data'!$C$51+'Market Data'!$M$51+'Market Data'!$W$51)))</f>
        <v>74129.118937560706</v>
      </c>
      <c r="AQ15" s="480">
        <f>IF('Market Penetration'!U15=0,0,1000*U15*('Market Data'!$E$51+'Market Data'!$O$51+'Market Data'!$Y$51)/('Market Penetration'!U15*('Market Data'!$C$51+'Market Data'!$M$51+'Market Data'!$W$51)))</f>
        <v>0</v>
      </c>
    </row>
    <row r="16" spans="1:43" ht="15" x14ac:dyDescent="0.25">
      <c r="A16" s="421">
        <v>2014</v>
      </c>
      <c r="B16" s="441">
        <f t="shared" si="12"/>
        <v>1</v>
      </c>
      <c r="C16" s="442">
        <f>'7&amp;8 Sleep'!$M83+'7&amp;8 Sleep'!$Z83</f>
        <v>0</v>
      </c>
      <c r="D16" s="442">
        <f>'7&amp;8 Sleep'!$M135+'7&amp;8 Sleep'!$Z135</f>
        <v>0</v>
      </c>
      <c r="E16" s="800">
        <f>'7&amp;8 Sleep'!$M187+'7&amp;8 Sleep'!$Z187</f>
        <v>0</v>
      </c>
      <c r="F16" s="442">
        <f>'7&amp;8 Sleep'!$M240+'7&amp;8 Sleep'!$Z240</f>
        <v>0</v>
      </c>
      <c r="G16" s="758">
        <f>'7&amp;8 Sleep'!$M293+'7&amp;8 Sleep'!$Z293</f>
        <v>0</v>
      </c>
      <c r="H16" s="959">
        <f t="shared" si="13"/>
        <v>1</v>
      </c>
      <c r="I16" s="758">
        <f>'7&amp;8 Day'!$M83+'7&amp;8 Day'!$Z83</f>
        <v>0</v>
      </c>
      <c r="J16" s="758">
        <f>'7&amp;8 Day'!$M135+'7&amp;8 Day'!$Z135</f>
        <v>0</v>
      </c>
      <c r="K16" s="758">
        <f>'7&amp;8 Day'!$M187+'7&amp;8 Day'!$Z187</f>
        <v>0</v>
      </c>
      <c r="L16" s="758">
        <f>'7&amp;8 Day'!$M240+'7&amp;8 Day'!$Z240</f>
        <v>0</v>
      </c>
      <c r="M16" s="805">
        <f>'7&amp;8 Day'!$M293+'7&amp;8 Day'!$Z293</f>
        <v>0</v>
      </c>
      <c r="N16" s="441">
        <f t="shared" si="14"/>
        <v>1</v>
      </c>
      <c r="O16" s="442">
        <f>'7&amp;8 SU'!$M83+'7&amp;8 SU'!$Z83</f>
        <v>0</v>
      </c>
      <c r="P16" s="442">
        <f>'7&amp;8 SU'!$M135+'7&amp;8 SU'!$Z135</f>
        <v>0</v>
      </c>
      <c r="Q16" s="800">
        <f>'7&amp;8 SU'!$M187+'7&amp;8 SU'!$Z187</f>
        <v>0</v>
      </c>
      <c r="R16" s="442">
        <f>'7&amp;8 SU'!$M240+'7&amp;8 SU'!$Z240</f>
        <v>0</v>
      </c>
      <c r="S16" s="758">
        <f>'7&amp;8 SU'!$M293+'7&amp;8 SU'!$Z293</f>
        <v>0</v>
      </c>
      <c r="T16" s="441">
        <f>B16*'Market Data'!$E$52+N16*'Market Data'!$O$52</f>
        <v>0.91032159271242163</v>
      </c>
      <c r="U16" s="443">
        <f>SUM(C16:G16)*'Market Data'!$E$52+SUM(O16:S16)*'Market Data'!$O$52</f>
        <v>0</v>
      </c>
      <c r="W16" s="421">
        <v>2014</v>
      </c>
      <c r="X16" s="478">
        <f>IF('Market Penetration'!B16=0,0,1000*B16*'Market Data'!$E$51/('Market Penetration'!B16*'Market Data'!$C$51))</f>
        <v>114290.39175651137</v>
      </c>
      <c r="Y16" s="479">
        <f>IF('Market Penetration'!C16=0,0,1000*C16*'Market Data'!$E$51/('Market Penetration'!C16*'Market Data'!$C$51))</f>
        <v>0</v>
      </c>
      <c r="Z16" s="479">
        <f>IF('Market Penetration'!D16=0,0,1000*D16*'Market Data'!$E$51/('Market Penetration'!D16*'Market Data'!$C$51))</f>
        <v>0</v>
      </c>
      <c r="AA16" s="795">
        <f>IF('Market Penetration'!E16=0,0,1000*E16*'Market Data'!$E$51/('Market Penetration'!E16*'Market Data'!$C$51))</f>
        <v>0</v>
      </c>
      <c r="AB16" s="479">
        <f>IF('Market Penetration'!F16=0,0,1000*F16*'Market Data'!$E$51/('Market Penetration'!F16*'Market Data'!$C$51))</f>
        <v>0</v>
      </c>
      <c r="AC16" s="790">
        <f>IF('Market Penetration'!G16=0,0,1000*G16*'Market Data'!$E$51/('Market Penetration'!G16*'Market Data'!$C$51))</f>
        <v>0</v>
      </c>
      <c r="AD16" s="478">
        <f>IF('Market Penetration'!H16=0,0,1000*H16*'Market Data'!$O$51/('Market Penetration'!H16*'Market Data'!$M$51))</f>
        <v>76984.800905352895</v>
      </c>
      <c r="AE16" s="479">
        <f>IF('Market Penetration'!I16=0,0,1000*I16*'Market Data'!$O$51/('Market Penetration'!I16*'Market Data'!$M$51))</f>
        <v>0</v>
      </c>
      <c r="AF16" s="479">
        <f>IF('Market Penetration'!J16=0,0,1000*J16*'Market Data'!$O$51/('Market Penetration'!J16*'Market Data'!$M$51))</f>
        <v>0</v>
      </c>
      <c r="AG16" s="479">
        <f>IF('Market Penetration'!K16=0,0,1000*K16*'Market Data'!$O$51/('Market Penetration'!K16*'Market Data'!$M$51))</f>
        <v>0</v>
      </c>
      <c r="AH16" s="479">
        <f>IF('Market Penetration'!L16=0,0,1000*L16*'Market Data'!$O$51/('Market Penetration'!L16*'Market Data'!$M$51))</f>
        <v>0</v>
      </c>
      <c r="AI16" s="480">
        <f>IF('Market Penetration'!M16=0,0,1000*M16*'Market Data'!$O$51/('Market Penetration'!M16*'Market Data'!$M$51))</f>
        <v>0</v>
      </c>
      <c r="AJ16" s="478">
        <f>IF('Market Penetration'!N16=0,0,1000*N16*'Market Data'!$Y$51/('Market Penetration'!N16*'Market Data'!$W$51))</f>
        <v>27261.021505205488</v>
      </c>
      <c r="AK16" s="479">
        <f>IF('Market Penetration'!O16=0,0,1000*O16*'Market Data'!$Y$51/('Market Penetration'!O16*'Market Data'!$W$51))</f>
        <v>0</v>
      </c>
      <c r="AL16" s="479">
        <f>IF('Market Penetration'!P16=0,0,1000*P16*'Market Data'!$Y$51/('Market Penetration'!P16*'Market Data'!$W$51))</f>
        <v>0</v>
      </c>
      <c r="AM16" s="795">
        <f>IF('Market Penetration'!Q16=0,0,1000*Q16*'Market Data'!$Y$51/('Market Penetration'!Q16*'Market Data'!$W$51))</f>
        <v>0</v>
      </c>
      <c r="AN16" s="479">
        <f>IF('Market Penetration'!R16=0,0,1000*R16*'Market Data'!$Y$51/('Market Penetration'!R16*'Market Data'!$W$51))</f>
        <v>0</v>
      </c>
      <c r="AO16" s="790">
        <f>IF('Market Penetration'!S16=0,0,1000*S16*'Market Data'!$Y$51/('Market Penetration'!S16*'Market Data'!$W$51))</f>
        <v>0</v>
      </c>
      <c r="AP16" s="478">
        <f>IF('Market Penetration'!T16=0,0,1000*T16*('Market Data'!$E$51+'Market Data'!$O$51+'Market Data'!$Y$51)/('Market Penetration'!T16*('Market Data'!$C$51+'Market Data'!$M$51+'Market Data'!$W$51)))</f>
        <v>74129.118937560706</v>
      </c>
      <c r="AQ16" s="480">
        <f>IF('Market Penetration'!U16=0,0,1000*U16*('Market Data'!$E$51+'Market Data'!$O$51+'Market Data'!$Y$51)/('Market Penetration'!U16*('Market Data'!$C$51+'Market Data'!$M$51+'Market Data'!$W$51)))</f>
        <v>0</v>
      </c>
    </row>
    <row r="17" spans="1:43" ht="15" x14ac:dyDescent="0.25">
      <c r="A17" s="420">
        <v>2015</v>
      </c>
      <c r="B17" s="444">
        <f t="shared" si="12"/>
        <v>1</v>
      </c>
      <c r="C17" s="445">
        <f>'7&amp;8 Sleep'!$M84+'7&amp;8 Sleep'!$Z84</f>
        <v>0</v>
      </c>
      <c r="D17" s="445">
        <f>'7&amp;8 Sleep'!$M136+'7&amp;8 Sleep'!$Z136</f>
        <v>0</v>
      </c>
      <c r="E17" s="801">
        <f>'7&amp;8 Sleep'!$M188+'7&amp;8 Sleep'!$Z188</f>
        <v>0</v>
      </c>
      <c r="F17" s="445">
        <f>'7&amp;8 Sleep'!$M241+'7&amp;8 Sleep'!$Z241</f>
        <v>0</v>
      </c>
      <c r="G17" s="759">
        <f>'7&amp;8 Sleep'!$M294+'7&amp;8 Sleep'!$Z294</f>
        <v>0</v>
      </c>
      <c r="H17" s="960">
        <f t="shared" si="13"/>
        <v>1</v>
      </c>
      <c r="I17" s="759">
        <f>'7&amp;8 Day'!$M84+'7&amp;8 Day'!$Z84</f>
        <v>0</v>
      </c>
      <c r="J17" s="759">
        <f>'7&amp;8 Day'!$M136+'7&amp;8 Day'!$Z136</f>
        <v>0</v>
      </c>
      <c r="K17" s="759">
        <f>'7&amp;8 Day'!$M188+'7&amp;8 Day'!$Z188</f>
        <v>0</v>
      </c>
      <c r="L17" s="759">
        <f>'7&amp;8 Day'!$M241+'7&amp;8 Day'!$Z241</f>
        <v>0</v>
      </c>
      <c r="M17" s="806">
        <f>'7&amp;8 Day'!$M294+'7&amp;8 Day'!$Z294</f>
        <v>0</v>
      </c>
      <c r="N17" s="444">
        <f t="shared" si="14"/>
        <v>1</v>
      </c>
      <c r="O17" s="445">
        <f>'7&amp;8 SU'!$M84+'7&amp;8 SU'!$Z84</f>
        <v>0</v>
      </c>
      <c r="P17" s="445">
        <f>'7&amp;8 SU'!$M136+'7&amp;8 SU'!$Z136</f>
        <v>0</v>
      </c>
      <c r="Q17" s="801">
        <f>'7&amp;8 SU'!$M188+'7&amp;8 SU'!$Z188</f>
        <v>0</v>
      </c>
      <c r="R17" s="445">
        <f>'7&amp;8 SU'!$M241+'7&amp;8 SU'!$Z241</f>
        <v>0</v>
      </c>
      <c r="S17" s="759">
        <f>'7&amp;8 SU'!$M294+'7&amp;8 SU'!$Z294</f>
        <v>0</v>
      </c>
      <c r="T17" s="444">
        <f>B17*'Market Data'!$E$52+H17*'Market Data'!$O$52+N17*+N17*'Market Data'!$Y$52</f>
        <v>1</v>
      </c>
      <c r="U17" s="446">
        <f>SUM(C17:G17)*'Market Data'!$E$52+SUM(I17:M17)*'Market Data'!$O$52+SUM(O17:S17)*+N17*'Market Data'!$Y$52</f>
        <v>0</v>
      </c>
      <c r="W17" s="420">
        <v>2015</v>
      </c>
      <c r="X17" s="481">
        <f>IF('Market Penetration'!B17=0,0,1000*B17*'Market Data'!$E$51/('Market Penetration'!B17*'Market Data'!$C$51))</f>
        <v>114290.39175651137</v>
      </c>
      <c r="Y17" s="482">
        <f>IF('Market Penetration'!C17=0,0,1000*C17*'Market Data'!$E$51/('Market Penetration'!C17*'Market Data'!$C$51))</f>
        <v>0</v>
      </c>
      <c r="Z17" s="482">
        <f>IF('Market Penetration'!D17=0,0,1000*D17*'Market Data'!$E$51/('Market Penetration'!D17*'Market Data'!$C$51))</f>
        <v>0</v>
      </c>
      <c r="AA17" s="796">
        <f>IF('Market Penetration'!E17=0,0,1000*E17*'Market Data'!$E$51/('Market Penetration'!E17*'Market Data'!$C$51))</f>
        <v>0</v>
      </c>
      <c r="AB17" s="482">
        <f>IF('Market Penetration'!F17=0,0,1000*F17*'Market Data'!$E$51/('Market Penetration'!F17*'Market Data'!$C$51))</f>
        <v>0</v>
      </c>
      <c r="AC17" s="791">
        <f>IF('Market Penetration'!G17=0,0,1000*G17*'Market Data'!$E$51/('Market Penetration'!G17*'Market Data'!$C$51))</f>
        <v>0</v>
      </c>
      <c r="AD17" s="481">
        <f>IF('Market Penetration'!H17=0,0,1000*H17*'Market Data'!$O$51/('Market Penetration'!H17*'Market Data'!$M$51))</f>
        <v>76984.800905352895</v>
      </c>
      <c r="AE17" s="482">
        <f>IF('Market Penetration'!I17=0,0,1000*I17*'Market Data'!$O$51/('Market Penetration'!I17*'Market Data'!$M$51))</f>
        <v>0</v>
      </c>
      <c r="AF17" s="482">
        <f>IF('Market Penetration'!J17=0,0,1000*J17*'Market Data'!$O$51/('Market Penetration'!J17*'Market Data'!$M$51))</f>
        <v>0</v>
      </c>
      <c r="AG17" s="482">
        <f>IF('Market Penetration'!K17=0,0,1000*K17*'Market Data'!$O$51/('Market Penetration'!K17*'Market Data'!$M$51))</f>
        <v>0</v>
      </c>
      <c r="AH17" s="482">
        <f>IF('Market Penetration'!L17=0,0,1000*L17*'Market Data'!$O$51/('Market Penetration'!L17*'Market Data'!$M$51))</f>
        <v>0</v>
      </c>
      <c r="AI17" s="483">
        <f>IF('Market Penetration'!M17=0,0,1000*M17*'Market Data'!$O$51/('Market Penetration'!M17*'Market Data'!$M$51))</f>
        <v>0</v>
      </c>
      <c r="AJ17" s="481">
        <f>IF('Market Penetration'!N17=0,0,1000*N17*'Market Data'!$Y$51/('Market Penetration'!N17*'Market Data'!$W$51))</f>
        <v>27261.021505205488</v>
      </c>
      <c r="AK17" s="482">
        <f>IF('Market Penetration'!O17=0,0,1000*O17*'Market Data'!$Y$51/('Market Penetration'!O17*'Market Data'!$W$51))</f>
        <v>0</v>
      </c>
      <c r="AL17" s="482">
        <f>IF('Market Penetration'!P17=0,0,1000*P17*'Market Data'!$Y$51/('Market Penetration'!P17*'Market Data'!$W$51))</f>
        <v>0</v>
      </c>
      <c r="AM17" s="796">
        <f>IF('Market Penetration'!Q17=0,0,1000*Q17*'Market Data'!$Y$51/('Market Penetration'!Q17*'Market Data'!$W$51))</f>
        <v>0</v>
      </c>
      <c r="AN17" s="482">
        <f>IF('Market Penetration'!R17=0,0,1000*R17*'Market Data'!$Y$51/('Market Penetration'!R17*'Market Data'!$W$51))</f>
        <v>0</v>
      </c>
      <c r="AO17" s="791">
        <f>IF('Market Penetration'!S17=0,0,1000*S17*'Market Data'!$Y$51/('Market Penetration'!S17*'Market Data'!$W$51))</f>
        <v>0</v>
      </c>
      <c r="AP17" s="481">
        <f>IF('Market Penetration'!T17=0,0,1000*T17*('Market Data'!$E$51+'Market Data'!$O$51+'Market Data'!$Y$51)/('Market Penetration'!T17*('Market Data'!$C$51+'Market Data'!$M$51+'Market Data'!$W$51)))</f>
        <v>81431.79238084791</v>
      </c>
      <c r="AQ17" s="483">
        <f>IF('Market Penetration'!U17=0,0,1000*U17*('Market Data'!$E$51+'Market Data'!$O$51+'Market Data'!$Y$51)/('Market Penetration'!U17*('Market Data'!$C$51+'Market Data'!$M$51+'Market Data'!$W$51)))</f>
        <v>0</v>
      </c>
    </row>
    <row r="18" spans="1:43" ht="15" x14ac:dyDescent="0.25">
      <c r="A18" s="447">
        <v>2016</v>
      </c>
      <c r="B18" s="448">
        <f t="shared" si="12"/>
        <v>1</v>
      </c>
      <c r="C18" s="449">
        <f>'7&amp;8 Sleep'!$M85+'7&amp;8 Sleep'!$Z85</f>
        <v>0</v>
      </c>
      <c r="D18" s="449">
        <f>'7&amp;8 Sleep'!$M137+'7&amp;8 Sleep'!$Z137</f>
        <v>0</v>
      </c>
      <c r="E18" s="802">
        <f>'7&amp;8 Sleep'!$M189+'7&amp;8 Sleep'!$Z189</f>
        <v>0</v>
      </c>
      <c r="F18" s="449">
        <f>'7&amp;8 Sleep'!$M242+'7&amp;8 Sleep'!$Z242</f>
        <v>0</v>
      </c>
      <c r="G18" s="760">
        <f>'7&amp;8 Sleep'!$M295+'7&amp;8 Sleep'!$Z295</f>
        <v>0</v>
      </c>
      <c r="H18" s="961">
        <f t="shared" si="13"/>
        <v>1</v>
      </c>
      <c r="I18" s="760">
        <f>'7&amp;8 Day'!$M85+'7&amp;8 Day'!$Z85</f>
        <v>0</v>
      </c>
      <c r="J18" s="760">
        <f>'7&amp;8 Day'!$M137+'7&amp;8 Day'!$Z137</f>
        <v>0</v>
      </c>
      <c r="K18" s="760">
        <f>'7&amp;8 Day'!$M189+'7&amp;8 Day'!$Z189</f>
        <v>0</v>
      </c>
      <c r="L18" s="760">
        <f>'7&amp;8 Day'!$M242+'7&amp;8 Day'!$Z242</f>
        <v>0</v>
      </c>
      <c r="M18" s="807">
        <f>'7&amp;8 Day'!$M295+'7&amp;8 Day'!$Z295</f>
        <v>0</v>
      </c>
      <c r="N18" s="448">
        <f t="shared" si="14"/>
        <v>1</v>
      </c>
      <c r="O18" s="449">
        <f>'7&amp;8 SU'!$M85+'7&amp;8 SU'!$Z85</f>
        <v>0</v>
      </c>
      <c r="P18" s="449">
        <f>'7&amp;8 SU'!$M137+'7&amp;8 SU'!$Z137</f>
        <v>0</v>
      </c>
      <c r="Q18" s="802">
        <f>'7&amp;8 SU'!$M189+'7&amp;8 SU'!$Z189</f>
        <v>0</v>
      </c>
      <c r="R18" s="449">
        <f>'7&amp;8 SU'!$M242+'7&amp;8 SU'!$Z242</f>
        <v>0</v>
      </c>
      <c r="S18" s="760">
        <f>'7&amp;8 SU'!$M295+'7&amp;8 SU'!$Z295</f>
        <v>0</v>
      </c>
      <c r="T18" s="451">
        <f>B18*'Market Data'!$E$52+H18*'Market Data'!$O$52+N18*+N18*'Market Data'!$Y$52</f>
        <v>1</v>
      </c>
      <c r="U18" s="452">
        <f>SUM(C18:G18)*'Market Data'!$E$52+SUM(I18:M18)*'Market Data'!$O$52+SUM(O18:S18)*+N18*'Market Data'!$Y$52</f>
        <v>0</v>
      </c>
      <c r="W18" s="447">
        <v>2016</v>
      </c>
      <c r="X18" s="484">
        <f>IF('Market Penetration'!B18=0,0,1000*B18*'Market Data'!$E$51/('Market Penetration'!B18*'Market Data'!$C$51))</f>
        <v>114290.39175651137</v>
      </c>
      <c r="Y18" s="485">
        <f>IF('Market Penetration'!C18=0,0,1000*C18*'Market Data'!$E$51/('Market Penetration'!C18*'Market Data'!$C$51))</f>
        <v>0</v>
      </c>
      <c r="Z18" s="485">
        <f>IF('Market Penetration'!D18=0,0,1000*D18*'Market Data'!$E$51/('Market Penetration'!D18*'Market Data'!$C$51))</f>
        <v>0</v>
      </c>
      <c r="AA18" s="797">
        <f>IF('Market Penetration'!E18=0,0,1000*E18*'Market Data'!$E$51/('Market Penetration'!E18*'Market Data'!$C$51))</f>
        <v>0</v>
      </c>
      <c r="AB18" s="485">
        <f>IF('Market Penetration'!F18=0,0,1000*F18*'Market Data'!$E$51/('Market Penetration'!F18*'Market Data'!$C$51))</f>
        <v>0</v>
      </c>
      <c r="AC18" s="792">
        <f>IF('Market Penetration'!G18=0,0,1000*G18*'Market Data'!$E$51/('Market Penetration'!G18*'Market Data'!$C$51))</f>
        <v>0</v>
      </c>
      <c r="AD18" s="484">
        <f>IF('Market Penetration'!H18=0,0,1000*H18*'Market Data'!$O$51/('Market Penetration'!H18*'Market Data'!$M$51))</f>
        <v>76984.800905352895</v>
      </c>
      <c r="AE18" s="485">
        <f>IF('Market Penetration'!I18=0,0,1000*I18*'Market Data'!$O$51/('Market Penetration'!I18*'Market Data'!$M$51))</f>
        <v>0</v>
      </c>
      <c r="AF18" s="485">
        <f>IF('Market Penetration'!J18=0,0,1000*J18*'Market Data'!$O$51/('Market Penetration'!J18*'Market Data'!$M$51))</f>
        <v>0</v>
      </c>
      <c r="AG18" s="485">
        <f>IF('Market Penetration'!K18=0,0,1000*K18*'Market Data'!$O$51/('Market Penetration'!K18*'Market Data'!$M$51))</f>
        <v>0</v>
      </c>
      <c r="AH18" s="485">
        <f>IF('Market Penetration'!L18=0,0,1000*L18*'Market Data'!$O$51/('Market Penetration'!L18*'Market Data'!$M$51))</f>
        <v>0</v>
      </c>
      <c r="AI18" s="966">
        <f>IF('Market Penetration'!M18=0,0,1000*M18*'Market Data'!$O$51/('Market Penetration'!M18*'Market Data'!$M$51))</f>
        <v>0</v>
      </c>
      <c r="AJ18" s="484">
        <f>IF('Market Penetration'!N18=0,0,1000*N18*'Market Data'!$Y$51/('Market Penetration'!N18*'Market Data'!$W$51))</f>
        <v>27261.021505205488</v>
      </c>
      <c r="AK18" s="485">
        <f>IF('Market Penetration'!O18=0,0,1000*O18*'Market Data'!$Y$51/('Market Penetration'!O18*'Market Data'!$W$51))</f>
        <v>0</v>
      </c>
      <c r="AL18" s="485">
        <f>IF('Market Penetration'!P18=0,0,1000*P18*'Market Data'!$Y$51/('Market Penetration'!P18*'Market Data'!$W$51))</f>
        <v>0</v>
      </c>
      <c r="AM18" s="797">
        <f>IF('Market Penetration'!Q18=0,0,1000*Q18*'Market Data'!$Y$51/('Market Penetration'!Q18*'Market Data'!$W$51))</f>
        <v>0</v>
      </c>
      <c r="AN18" s="485">
        <f>IF('Market Penetration'!R18=0,0,1000*R18*'Market Data'!$Y$51/('Market Penetration'!R18*'Market Data'!$W$51))</f>
        <v>0</v>
      </c>
      <c r="AO18" s="792">
        <f>IF('Market Penetration'!S18=0,0,1000*S18*'Market Data'!$Y$51/('Market Penetration'!S18*'Market Data'!$W$51))</f>
        <v>0</v>
      </c>
      <c r="AP18" s="486">
        <f>IF('Market Penetration'!T18=0,0,1000*T18*('Market Data'!$E$51+'Market Data'!$O$51+'Market Data'!$Y$51)/('Market Penetration'!T18*('Market Data'!$C$51+'Market Data'!$M$51+'Market Data'!$W$51)))</f>
        <v>81431.79238084791</v>
      </c>
      <c r="AQ18" s="487">
        <f>IF('Market Penetration'!U18=0,0,1000*U18*('Market Data'!$E$51+'Market Data'!$O$51+'Market Data'!$Y$51)/('Market Penetration'!U18*('Market Data'!$C$51+'Market Data'!$M$51+'Market Data'!$W$51)))</f>
        <v>0</v>
      </c>
    </row>
    <row r="19" spans="1:43" ht="15" x14ac:dyDescent="0.25">
      <c r="A19" s="421">
        <v>2017</v>
      </c>
      <c r="B19" s="441">
        <f t="shared" si="12"/>
        <v>1</v>
      </c>
      <c r="C19" s="442">
        <f>'7&amp;8 Sleep'!$M86+'7&amp;8 Sleep'!$Z86</f>
        <v>0</v>
      </c>
      <c r="D19" s="442">
        <f>'7&amp;8 Sleep'!$M138+'7&amp;8 Sleep'!$Z138</f>
        <v>0</v>
      </c>
      <c r="E19" s="800">
        <f>'7&amp;8 Sleep'!$M190+'7&amp;8 Sleep'!$Z190</f>
        <v>0</v>
      </c>
      <c r="F19" s="442">
        <f>'7&amp;8 Sleep'!$M243+'7&amp;8 Sleep'!$Z243</f>
        <v>0</v>
      </c>
      <c r="G19" s="758">
        <f>'7&amp;8 Sleep'!$M296+'7&amp;8 Sleep'!$Z296</f>
        <v>0</v>
      </c>
      <c r="H19" s="959">
        <f t="shared" si="13"/>
        <v>1</v>
      </c>
      <c r="I19" s="758">
        <f>'7&amp;8 Day'!$M86+'7&amp;8 Day'!$Z86</f>
        <v>0</v>
      </c>
      <c r="J19" s="758">
        <f>'7&amp;8 Day'!$M138+'7&amp;8 Day'!$Z138</f>
        <v>0</v>
      </c>
      <c r="K19" s="758">
        <f>'7&amp;8 Day'!$M190+'7&amp;8 Day'!$Z190</f>
        <v>0</v>
      </c>
      <c r="L19" s="758">
        <f>'7&amp;8 Day'!$M243+'7&amp;8 Day'!$Z243</f>
        <v>0</v>
      </c>
      <c r="M19" s="805">
        <f>'7&amp;8 Day'!$M296+'7&amp;8 Day'!$Z296</f>
        <v>0</v>
      </c>
      <c r="N19" s="441">
        <f t="shared" si="14"/>
        <v>1</v>
      </c>
      <c r="O19" s="442">
        <f>'7&amp;8 SU'!$M86+'7&amp;8 SU'!$Z86</f>
        <v>0</v>
      </c>
      <c r="P19" s="442">
        <f>'7&amp;8 SU'!$M138+'7&amp;8 SU'!$Z138</f>
        <v>0</v>
      </c>
      <c r="Q19" s="800">
        <f>'7&amp;8 SU'!$M190+'7&amp;8 SU'!$Z190</f>
        <v>0</v>
      </c>
      <c r="R19" s="442">
        <f>'7&amp;8 SU'!$M243+'7&amp;8 SU'!$Z243</f>
        <v>0</v>
      </c>
      <c r="S19" s="758">
        <f>'7&amp;8 SU'!$M296+'7&amp;8 SU'!$Z296</f>
        <v>0</v>
      </c>
      <c r="T19" s="441">
        <f>B19*'Market Data'!$E$52+H19*'Market Data'!$O$52+N19*+N19*'Market Data'!$Y$52</f>
        <v>1</v>
      </c>
      <c r="U19" s="443">
        <f>SUM(C19:G19)*'Market Data'!$E$52+SUM(I19:M19)*'Market Data'!$O$52+SUM(O19:S19)*+N19*'Market Data'!$Y$52</f>
        <v>0</v>
      </c>
      <c r="W19" s="421">
        <v>2017</v>
      </c>
      <c r="X19" s="478">
        <f>IF('Market Penetration'!B19=0,0,1000*B19*'Market Data'!$E$51/('Market Penetration'!B19*'Market Data'!$C$51))</f>
        <v>114290.39175651137</v>
      </c>
      <c r="Y19" s="479">
        <f>IF('Market Penetration'!C19=0,0,1000*C19*'Market Data'!$E$51/('Market Penetration'!C19*'Market Data'!$C$51))</f>
        <v>0</v>
      </c>
      <c r="Z19" s="479">
        <f>IF('Market Penetration'!D19=0,0,1000*D19*'Market Data'!$E$51/('Market Penetration'!D19*'Market Data'!$C$51))</f>
        <v>0</v>
      </c>
      <c r="AA19" s="795">
        <f>IF('Market Penetration'!E19=0,0,1000*E19*'Market Data'!$E$51/('Market Penetration'!E19*'Market Data'!$C$51))</f>
        <v>0</v>
      </c>
      <c r="AB19" s="479">
        <f>IF('Market Penetration'!F19=0,0,1000*F19*'Market Data'!$E$51/('Market Penetration'!F19*'Market Data'!$C$51))</f>
        <v>0</v>
      </c>
      <c r="AC19" s="790">
        <f>IF('Market Penetration'!G19=0,0,1000*G19*'Market Data'!$E$51/('Market Penetration'!G19*'Market Data'!$C$51))</f>
        <v>0</v>
      </c>
      <c r="AD19" s="478">
        <f>IF('Market Penetration'!H19=0,0,1000*H19*'Market Data'!$O$51/('Market Penetration'!H19*'Market Data'!$M$51))</f>
        <v>76984.800905352895</v>
      </c>
      <c r="AE19" s="479">
        <f>IF('Market Penetration'!I19=0,0,1000*I19*'Market Data'!$O$51/('Market Penetration'!I19*'Market Data'!$M$51))</f>
        <v>0</v>
      </c>
      <c r="AF19" s="479">
        <f>IF('Market Penetration'!J19=0,0,1000*J19*'Market Data'!$O$51/('Market Penetration'!J19*'Market Data'!$M$51))</f>
        <v>0</v>
      </c>
      <c r="AG19" s="479">
        <f>IF('Market Penetration'!K19=0,0,1000*K19*'Market Data'!$O$51/('Market Penetration'!K19*'Market Data'!$M$51))</f>
        <v>0</v>
      </c>
      <c r="AH19" s="479">
        <f>IF('Market Penetration'!L19=0,0,1000*L19*'Market Data'!$O$51/('Market Penetration'!L19*'Market Data'!$M$51))</f>
        <v>0</v>
      </c>
      <c r="AI19" s="480">
        <f>IF('Market Penetration'!M19=0,0,1000*M19*'Market Data'!$O$51/('Market Penetration'!M19*'Market Data'!$M$51))</f>
        <v>0</v>
      </c>
      <c r="AJ19" s="478">
        <f>IF('Market Penetration'!N19=0,0,1000*N19*'Market Data'!$Y$51/('Market Penetration'!N19*'Market Data'!$W$51))</f>
        <v>27261.021505205488</v>
      </c>
      <c r="AK19" s="479">
        <f>IF('Market Penetration'!O19=0,0,1000*O19*'Market Data'!$Y$51/('Market Penetration'!O19*'Market Data'!$W$51))</f>
        <v>0</v>
      </c>
      <c r="AL19" s="479">
        <f>IF('Market Penetration'!P19=0,0,1000*P19*'Market Data'!$Y$51/('Market Penetration'!P19*'Market Data'!$W$51))</f>
        <v>0</v>
      </c>
      <c r="AM19" s="795">
        <f>IF('Market Penetration'!Q19=0,0,1000*Q19*'Market Data'!$Y$51/('Market Penetration'!Q19*'Market Data'!$W$51))</f>
        <v>0</v>
      </c>
      <c r="AN19" s="479">
        <f>IF('Market Penetration'!R19=0,0,1000*R19*'Market Data'!$Y$51/('Market Penetration'!R19*'Market Data'!$W$51))</f>
        <v>0</v>
      </c>
      <c r="AO19" s="790">
        <f>IF('Market Penetration'!S19=0,0,1000*S19*'Market Data'!$Y$51/('Market Penetration'!S19*'Market Data'!$W$51))</f>
        <v>0</v>
      </c>
      <c r="AP19" s="478">
        <f>IF('Market Penetration'!T19=0,0,1000*T19*('Market Data'!$E$51+'Market Data'!$O$51+'Market Data'!$Y$51)/('Market Penetration'!T19*('Market Data'!$C$51+'Market Data'!$M$51+'Market Data'!$W$51)))</f>
        <v>81431.79238084791</v>
      </c>
      <c r="AQ19" s="480">
        <f>IF('Market Penetration'!U19=0,0,1000*U19*('Market Data'!$E$51+'Market Data'!$O$51+'Market Data'!$Y$51)/('Market Penetration'!U19*('Market Data'!$C$51+'Market Data'!$M$51+'Market Data'!$W$51)))</f>
        <v>0</v>
      </c>
    </row>
    <row r="20" spans="1:43" ht="15" x14ac:dyDescent="0.25">
      <c r="A20" s="421">
        <v>2018</v>
      </c>
      <c r="B20" s="441">
        <f t="shared" si="12"/>
        <v>1</v>
      </c>
      <c r="C20" s="442">
        <f>'7&amp;8 Sleep'!$M87+'7&amp;8 Sleep'!$Z87</f>
        <v>0</v>
      </c>
      <c r="D20" s="442">
        <f>'7&amp;8 Sleep'!$M139+'7&amp;8 Sleep'!$Z139</f>
        <v>0</v>
      </c>
      <c r="E20" s="800">
        <f>'7&amp;8 Sleep'!$M191+'7&amp;8 Sleep'!$Z191</f>
        <v>0</v>
      </c>
      <c r="F20" s="442">
        <f>'7&amp;8 Sleep'!$M244+'7&amp;8 Sleep'!$Z244</f>
        <v>0</v>
      </c>
      <c r="G20" s="758">
        <f>'7&amp;8 Sleep'!$M297+'7&amp;8 Sleep'!$Z297</f>
        <v>0</v>
      </c>
      <c r="H20" s="959">
        <f t="shared" si="13"/>
        <v>1</v>
      </c>
      <c r="I20" s="758">
        <f>'7&amp;8 Day'!$M87+'7&amp;8 Day'!$Z87</f>
        <v>0</v>
      </c>
      <c r="J20" s="758">
        <f>'7&amp;8 Day'!$M139+'7&amp;8 Day'!$Z139</f>
        <v>0</v>
      </c>
      <c r="K20" s="758">
        <f>'7&amp;8 Day'!$M191+'7&amp;8 Day'!$Z191</f>
        <v>0</v>
      </c>
      <c r="L20" s="758">
        <f>'7&amp;8 Day'!$M244+'7&amp;8 Day'!$Z244</f>
        <v>0</v>
      </c>
      <c r="M20" s="805">
        <f>'7&amp;8 Day'!$M297+'7&amp;8 Day'!$Z297</f>
        <v>0</v>
      </c>
      <c r="N20" s="441">
        <f t="shared" si="14"/>
        <v>1</v>
      </c>
      <c r="O20" s="442">
        <f>'7&amp;8 SU'!$M87+'7&amp;8 SU'!$Z87</f>
        <v>0</v>
      </c>
      <c r="P20" s="442">
        <f>'7&amp;8 SU'!$M139+'7&amp;8 SU'!$Z139</f>
        <v>0</v>
      </c>
      <c r="Q20" s="800">
        <f>'7&amp;8 SU'!$M191+'7&amp;8 SU'!$Z191</f>
        <v>0</v>
      </c>
      <c r="R20" s="442">
        <f>'7&amp;8 SU'!$M244+'7&amp;8 SU'!$Z244</f>
        <v>0</v>
      </c>
      <c r="S20" s="758">
        <f>'7&amp;8 SU'!$M297+'7&amp;8 SU'!$Z297</f>
        <v>0</v>
      </c>
      <c r="T20" s="441">
        <f>B20*'Market Data'!$E$52+H20*'Market Data'!$O$52+N20*+N20*'Market Data'!$Y$52</f>
        <v>1</v>
      </c>
      <c r="U20" s="443">
        <f>SUM(C20:G20)*'Market Data'!$E$52+SUM(I20:M20)*'Market Data'!$O$52+SUM(O20:S20)*+N20*'Market Data'!$Y$52</f>
        <v>0</v>
      </c>
      <c r="W20" s="421">
        <v>2018</v>
      </c>
      <c r="X20" s="478">
        <f>IF('Market Penetration'!B20=0,0,1000*B20*'Market Data'!$E$51/('Market Penetration'!B20*'Market Data'!$C$51))</f>
        <v>114290.39175651137</v>
      </c>
      <c r="Y20" s="479">
        <f>IF('Market Penetration'!C20=0,0,1000*C20*'Market Data'!$E$51/('Market Penetration'!C20*'Market Data'!$C$51))</f>
        <v>0</v>
      </c>
      <c r="Z20" s="479">
        <f>IF('Market Penetration'!D20=0,0,1000*D20*'Market Data'!$E$51/('Market Penetration'!D20*'Market Data'!$C$51))</f>
        <v>0</v>
      </c>
      <c r="AA20" s="795">
        <f>IF('Market Penetration'!E20=0,0,1000*E20*'Market Data'!$E$51/('Market Penetration'!E20*'Market Data'!$C$51))</f>
        <v>0</v>
      </c>
      <c r="AB20" s="479">
        <f>IF('Market Penetration'!F20=0,0,1000*F20*'Market Data'!$E$51/('Market Penetration'!F20*'Market Data'!$C$51))</f>
        <v>0</v>
      </c>
      <c r="AC20" s="790">
        <f>IF('Market Penetration'!G20=0,0,1000*G20*'Market Data'!$E$51/('Market Penetration'!G20*'Market Data'!$C$51))</f>
        <v>0</v>
      </c>
      <c r="AD20" s="478">
        <f>IF('Market Penetration'!H20=0,0,1000*H20*'Market Data'!$O$51/('Market Penetration'!H20*'Market Data'!$M$51))</f>
        <v>76984.800905352895</v>
      </c>
      <c r="AE20" s="479">
        <f>IF('Market Penetration'!I20=0,0,1000*I20*'Market Data'!$O$51/('Market Penetration'!I20*'Market Data'!$M$51))</f>
        <v>0</v>
      </c>
      <c r="AF20" s="479">
        <f>IF('Market Penetration'!J20=0,0,1000*J20*'Market Data'!$O$51/('Market Penetration'!J20*'Market Data'!$M$51))</f>
        <v>0</v>
      </c>
      <c r="AG20" s="479">
        <f>IF('Market Penetration'!K20=0,0,1000*K20*'Market Data'!$O$51/('Market Penetration'!K20*'Market Data'!$M$51))</f>
        <v>0</v>
      </c>
      <c r="AH20" s="479">
        <f>IF('Market Penetration'!L20=0,0,1000*L20*'Market Data'!$O$51/('Market Penetration'!L20*'Market Data'!$M$51))</f>
        <v>0</v>
      </c>
      <c r="AI20" s="480">
        <f>IF('Market Penetration'!M20=0,0,1000*M20*'Market Data'!$O$51/('Market Penetration'!M20*'Market Data'!$M$51))</f>
        <v>0</v>
      </c>
      <c r="AJ20" s="478">
        <f>IF('Market Penetration'!N20=0,0,1000*N20*'Market Data'!$Y$51/('Market Penetration'!N20*'Market Data'!$W$51))</f>
        <v>27261.021505205488</v>
      </c>
      <c r="AK20" s="479">
        <f>IF('Market Penetration'!O20=0,0,1000*O20*'Market Data'!$Y$51/('Market Penetration'!O20*'Market Data'!$W$51))</f>
        <v>0</v>
      </c>
      <c r="AL20" s="479">
        <f>IF('Market Penetration'!P20=0,0,1000*P20*'Market Data'!$Y$51/('Market Penetration'!P20*'Market Data'!$W$51))</f>
        <v>0</v>
      </c>
      <c r="AM20" s="795">
        <f>IF('Market Penetration'!Q20=0,0,1000*Q20*'Market Data'!$Y$51/('Market Penetration'!Q20*'Market Data'!$W$51))</f>
        <v>0</v>
      </c>
      <c r="AN20" s="479">
        <f>IF('Market Penetration'!R20=0,0,1000*R20*'Market Data'!$Y$51/('Market Penetration'!R20*'Market Data'!$W$51))</f>
        <v>0</v>
      </c>
      <c r="AO20" s="790">
        <f>IF('Market Penetration'!S20=0,0,1000*S20*'Market Data'!$Y$51/('Market Penetration'!S20*'Market Data'!$W$51))</f>
        <v>0</v>
      </c>
      <c r="AP20" s="478">
        <f>IF('Market Penetration'!T20=0,0,1000*T20*('Market Data'!$E$51+'Market Data'!$O$51+'Market Data'!$Y$51)/('Market Penetration'!T20*('Market Data'!$C$51+'Market Data'!$M$51+'Market Data'!$W$51)))</f>
        <v>81431.79238084791</v>
      </c>
      <c r="AQ20" s="480">
        <f>IF('Market Penetration'!U20=0,0,1000*U20*('Market Data'!$E$51+'Market Data'!$O$51+'Market Data'!$Y$51)/('Market Penetration'!U20*('Market Data'!$C$51+'Market Data'!$M$51+'Market Data'!$W$51)))</f>
        <v>0</v>
      </c>
    </row>
    <row r="21" spans="1:43" ht="15" x14ac:dyDescent="0.25">
      <c r="A21" s="421">
        <v>2019</v>
      </c>
      <c r="B21" s="441">
        <f t="shared" si="12"/>
        <v>1</v>
      </c>
      <c r="C21" s="442">
        <f>'7&amp;8 Sleep'!$M88+'7&amp;8 Sleep'!$Z88</f>
        <v>0</v>
      </c>
      <c r="D21" s="442">
        <f>'7&amp;8 Sleep'!$M140+'7&amp;8 Sleep'!$Z140</f>
        <v>0</v>
      </c>
      <c r="E21" s="800">
        <f>'7&amp;8 Sleep'!$M192+'7&amp;8 Sleep'!$Z192</f>
        <v>0</v>
      </c>
      <c r="F21" s="442">
        <f>'7&amp;8 Sleep'!$M245+'7&amp;8 Sleep'!$Z245</f>
        <v>0</v>
      </c>
      <c r="G21" s="758">
        <f>'7&amp;8 Sleep'!$M298+'7&amp;8 Sleep'!$Z298</f>
        <v>0</v>
      </c>
      <c r="H21" s="959">
        <f t="shared" si="13"/>
        <v>1</v>
      </c>
      <c r="I21" s="758">
        <f>'7&amp;8 Day'!$M88+'7&amp;8 Day'!$Z88</f>
        <v>0</v>
      </c>
      <c r="J21" s="758">
        <f>'7&amp;8 Day'!$M140+'7&amp;8 Day'!$Z140</f>
        <v>0</v>
      </c>
      <c r="K21" s="758">
        <f>'7&amp;8 Day'!$M192+'7&amp;8 Day'!$Z192</f>
        <v>0</v>
      </c>
      <c r="L21" s="758">
        <f>'7&amp;8 Day'!$M245+'7&amp;8 Day'!$Z245</f>
        <v>0</v>
      </c>
      <c r="M21" s="805">
        <f>'7&amp;8 Day'!$M298+'7&amp;8 Day'!$Z298</f>
        <v>0</v>
      </c>
      <c r="N21" s="441">
        <f t="shared" si="14"/>
        <v>1</v>
      </c>
      <c r="O21" s="442">
        <f>'7&amp;8 SU'!$M88+'7&amp;8 SU'!$Z88</f>
        <v>0</v>
      </c>
      <c r="P21" s="442">
        <f>'7&amp;8 SU'!$M140+'7&amp;8 SU'!$Z140</f>
        <v>0</v>
      </c>
      <c r="Q21" s="800">
        <f>'7&amp;8 SU'!$M192+'7&amp;8 SU'!$Z192</f>
        <v>0</v>
      </c>
      <c r="R21" s="442">
        <f>'7&amp;8 SU'!$M245+'7&amp;8 SU'!$Z245</f>
        <v>0</v>
      </c>
      <c r="S21" s="758">
        <f>'7&amp;8 SU'!$M298+'7&amp;8 SU'!$Z298</f>
        <v>0</v>
      </c>
      <c r="T21" s="441">
        <f>B21*'Market Data'!$E$52+H21*'Market Data'!$O$52+N21*+N21*'Market Data'!$Y$52</f>
        <v>1</v>
      </c>
      <c r="U21" s="443">
        <f>SUM(C21:G21)*'Market Data'!$E$52+SUM(I21:M21)*'Market Data'!$O$52+SUM(O21:S21)*+N21*'Market Data'!$Y$52</f>
        <v>0</v>
      </c>
      <c r="W21" s="421">
        <v>2019</v>
      </c>
      <c r="X21" s="478">
        <f>IF('Market Penetration'!B21=0,0,1000*B21*'Market Data'!$E$51/('Market Penetration'!B21*'Market Data'!$C$51))</f>
        <v>114290.39175651137</v>
      </c>
      <c r="Y21" s="479">
        <f>IF('Market Penetration'!C21=0,0,1000*C21*'Market Data'!$E$51/('Market Penetration'!C21*'Market Data'!$C$51))</f>
        <v>0</v>
      </c>
      <c r="Z21" s="479">
        <f>IF('Market Penetration'!D21=0,0,1000*D21*'Market Data'!$E$51/('Market Penetration'!D21*'Market Data'!$C$51))</f>
        <v>0</v>
      </c>
      <c r="AA21" s="795">
        <f>IF('Market Penetration'!E21=0,0,1000*E21*'Market Data'!$E$51/('Market Penetration'!E21*'Market Data'!$C$51))</f>
        <v>0</v>
      </c>
      <c r="AB21" s="479">
        <f>IF('Market Penetration'!F21=0,0,1000*F21*'Market Data'!$E$51/('Market Penetration'!F21*'Market Data'!$C$51))</f>
        <v>0</v>
      </c>
      <c r="AC21" s="790">
        <f>IF('Market Penetration'!G21=0,0,1000*G21*'Market Data'!$E$51/('Market Penetration'!G21*'Market Data'!$C$51))</f>
        <v>0</v>
      </c>
      <c r="AD21" s="478">
        <f>IF('Market Penetration'!H21=0,0,1000*H21*'Market Data'!$O$51/('Market Penetration'!H21*'Market Data'!$M$51))</f>
        <v>76984.800905352895</v>
      </c>
      <c r="AE21" s="479">
        <f>IF('Market Penetration'!I21=0,0,1000*I21*'Market Data'!$O$51/('Market Penetration'!I21*'Market Data'!$M$51))</f>
        <v>0</v>
      </c>
      <c r="AF21" s="479">
        <f>IF('Market Penetration'!J21=0,0,1000*J21*'Market Data'!$O$51/('Market Penetration'!J21*'Market Data'!$M$51))</f>
        <v>0</v>
      </c>
      <c r="AG21" s="479">
        <f>IF('Market Penetration'!K21=0,0,1000*K21*'Market Data'!$O$51/('Market Penetration'!K21*'Market Data'!$M$51))</f>
        <v>0</v>
      </c>
      <c r="AH21" s="479">
        <f>IF('Market Penetration'!L21=0,0,1000*L21*'Market Data'!$O$51/('Market Penetration'!L21*'Market Data'!$M$51))</f>
        <v>0</v>
      </c>
      <c r="AI21" s="480">
        <f>IF('Market Penetration'!M21=0,0,1000*M21*'Market Data'!$O$51/('Market Penetration'!M21*'Market Data'!$M$51))</f>
        <v>0</v>
      </c>
      <c r="AJ21" s="478">
        <f>IF('Market Penetration'!N21=0,0,1000*N21*'Market Data'!$Y$51/('Market Penetration'!N21*'Market Data'!$W$51))</f>
        <v>27261.021505205488</v>
      </c>
      <c r="AK21" s="479">
        <f>IF('Market Penetration'!O21=0,0,1000*O21*'Market Data'!$Y$51/('Market Penetration'!O21*'Market Data'!$W$51))</f>
        <v>0</v>
      </c>
      <c r="AL21" s="479">
        <f>IF('Market Penetration'!P21=0,0,1000*P21*'Market Data'!$Y$51/('Market Penetration'!P21*'Market Data'!$W$51))</f>
        <v>0</v>
      </c>
      <c r="AM21" s="795">
        <f>IF('Market Penetration'!Q21=0,0,1000*Q21*'Market Data'!$Y$51/('Market Penetration'!Q21*'Market Data'!$W$51))</f>
        <v>0</v>
      </c>
      <c r="AN21" s="479">
        <f>IF('Market Penetration'!R21=0,0,1000*R21*'Market Data'!$Y$51/('Market Penetration'!R21*'Market Data'!$W$51))</f>
        <v>0</v>
      </c>
      <c r="AO21" s="790">
        <f>IF('Market Penetration'!S21=0,0,1000*S21*'Market Data'!$Y$51/('Market Penetration'!S21*'Market Data'!$W$51))</f>
        <v>0</v>
      </c>
      <c r="AP21" s="478">
        <f>IF('Market Penetration'!T21=0,0,1000*T21*('Market Data'!$E$51+'Market Data'!$O$51+'Market Data'!$Y$51)/('Market Penetration'!T21*('Market Data'!$C$51+'Market Data'!$M$51+'Market Data'!$W$51)))</f>
        <v>81431.79238084791</v>
      </c>
      <c r="AQ21" s="480">
        <f>IF('Market Penetration'!U21=0,0,1000*U21*('Market Data'!$E$51+'Market Data'!$O$51+'Market Data'!$Y$51)/('Market Penetration'!U21*('Market Data'!$C$51+'Market Data'!$M$51+'Market Data'!$W$51)))</f>
        <v>0</v>
      </c>
    </row>
    <row r="22" spans="1:43" ht="15" x14ac:dyDescent="0.25">
      <c r="A22" s="420">
        <v>2020</v>
      </c>
      <c r="B22" s="444">
        <f t="shared" si="12"/>
        <v>1</v>
      </c>
      <c r="C22" s="445">
        <f>'7&amp;8 Sleep'!$M89+'7&amp;8 Sleep'!$Z89</f>
        <v>0</v>
      </c>
      <c r="D22" s="445">
        <f>'7&amp;8 Sleep'!$M141+'7&amp;8 Sleep'!$Z141</f>
        <v>0</v>
      </c>
      <c r="E22" s="801">
        <f>'7&amp;8 Sleep'!$M193+'7&amp;8 Sleep'!$Z193</f>
        <v>0</v>
      </c>
      <c r="F22" s="445">
        <f>'7&amp;8 Sleep'!$M246+'7&amp;8 Sleep'!$Z246</f>
        <v>0</v>
      </c>
      <c r="G22" s="759">
        <f>'7&amp;8 Sleep'!$M299+'7&amp;8 Sleep'!$Z299</f>
        <v>0</v>
      </c>
      <c r="H22" s="960">
        <f t="shared" si="13"/>
        <v>1</v>
      </c>
      <c r="I22" s="759">
        <f>'7&amp;8 Day'!$M89+'7&amp;8 Day'!$Z89</f>
        <v>0</v>
      </c>
      <c r="J22" s="759">
        <f>'7&amp;8 Day'!$M141+'7&amp;8 Day'!$Z141</f>
        <v>0</v>
      </c>
      <c r="K22" s="759">
        <f>'7&amp;8 Day'!$M193+'7&amp;8 Day'!$Z193</f>
        <v>0</v>
      </c>
      <c r="L22" s="759">
        <f>'7&amp;8 Day'!$M246+'7&amp;8 Day'!$Z246</f>
        <v>0</v>
      </c>
      <c r="M22" s="806">
        <f>'7&amp;8 Day'!$M299+'7&amp;8 Day'!$Z299</f>
        <v>0</v>
      </c>
      <c r="N22" s="444">
        <f t="shared" si="14"/>
        <v>1</v>
      </c>
      <c r="O22" s="445">
        <f>'7&amp;8 SU'!$M89+'7&amp;8 SU'!$Z89</f>
        <v>0</v>
      </c>
      <c r="P22" s="445">
        <f>'7&amp;8 SU'!$M141+'7&amp;8 SU'!$Z141</f>
        <v>0</v>
      </c>
      <c r="Q22" s="801">
        <f>'7&amp;8 SU'!$M193+'7&amp;8 SU'!$Z193</f>
        <v>0</v>
      </c>
      <c r="R22" s="445">
        <f>'7&amp;8 SU'!$M246+'7&amp;8 SU'!$Z246</f>
        <v>0</v>
      </c>
      <c r="S22" s="759">
        <f>'7&amp;8 SU'!$M299+'7&amp;8 SU'!$Z299</f>
        <v>0</v>
      </c>
      <c r="T22" s="444">
        <f>B22*'Market Data'!$E$52+H22*'Market Data'!$O$52+N22*+N22*'Market Data'!$Y$52</f>
        <v>1</v>
      </c>
      <c r="U22" s="446">
        <f>SUM(C22:G22)*'Market Data'!$E$52+SUM(I22:M22)*'Market Data'!$O$52+SUM(O22:S22)*+N22*'Market Data'!$Y$52</f>
        <v>0</v>
      </c>
      <c r="W22" s="420">
        <v>2020</v>
      </c>
      <c r="X22" s="481">
        <f>IF('Market Penetration'!B22=0,0,1000*B22*'Market Data'!$E$51/('Market Penetration'!B22*'Market Data'!$C$51))</f>
        <v>114290.39175651137</v>
      </c>
      <c r="Y22" s="482">
        <f>IF('Market Penetration'!C22=0,0,1000*C22*'Market Data'!$E$51/('Market Penetration'!C22*'Market Data'!$C$51))</f>
        <v>0</v>
      </c>
      <c r="Z22" s="482">
        <f>IF('Market Penetration'!D22=0,0,1000*D22*'Market Data'!$E$51/('Market Penetration'!D22*'Market Data'!$C$51))</f>
        <v>0</v>
      </c>
      <c r="AA22" s="796">
        <f>IF('Market Penetration'!E22=0,0,1000*E22*'Market Data'!$E$51/('Market Penetration'!E22*'Market Data'!$C$51))</f>
        <v>0</v>
      </c>
      <c r="AB22" s="482">
        <f>IF('Market Penetration'!F22=0,0,1000*F22*'Market Data'!$E$51/('Market Penetration'!F22*'Market Data'!$C$51))</f>
        <v>0</v>
      </c>
      <c r="AC22" s="791">
        <f>IF('Market Penetration'!G22=0,0,1000*G22*'Market Data'!$E$51/('Market Penetration'!G22*'Market Data'!$C$51))</f>
        <v>0</v>
      </c>
      <c r="AD22" s="481">
        <f>IF('Market Penetration'!H22=0,0,1000*H22*'Market Data'!$O$51/('Market Penetration'!H22*'Market Data'!$M$51))</f>
        <v>76984.800905352895</v>
      </c>
      <c r="AE22" s="482">
        <f>IF('Market Penetration'!I22=0,0,1000*I22*'Market Data'!$O$51/('Market Penetration'!I22*'Market Data'!$M$51))</f>
        <v>0</v>
      </c>
      <c r="AF22" s="482">
        <f>IF('Market Penetration'!J22=0,0,1000*J22*'Market Data'!$O$51/('Market Penetration'!J22*'Market Data'!$M$51))</f>
        <v>0</v>
      </c>
      <c r="AG22" s="482">
        <f>IF('Market Penetration'!K22=0,0,1000*K22*'Market Data'!$O$51/('Market Penetration'!K22*'Market Data'!$M$51))</f>
        <v>0</v>
      </c>
      <c r="AH22" s="482">
        <f>IF('Market Penetration'!L22=0,0,1000*L22*'Market Data'!$O$51/('Market Penetration'!L22*'Market Data'!$M$51))</f>
        <v>0</v>
      </c>
      <c r="AI22" s="483">
        <f>IF('Market Penetration'!M22=0,0,1000*M22*'Market Data'!$O$51/('Market Penetration'!M22*'Market Data'!$M$51))</f>
        <v>0</v>
      </c>
      <c r="AJ22" s="481">
        <f>IF('Market Penetration'!N22=0,0,1000*N22*'Market Data'!$Y$51/('Market Penetration'!N22*'Market Data'!$W$51))</f>
        <v>27261.021505205488</v>
      </c>
      <c r="AK22" s="482">
        <f>IF('Market Penetration'!O22=0,0,1000*O22*'Market Data'!$Y$51/('Market Penetration'!O22*'Market Data'!$W$51))</f>
        <v>0</v>
      </c>
      <c r="AL22" s="482">
        <f>IF('Market Penetration'!P22=0,0,1000*P22*'Market Data'!$Y$51/('Market Penetration'!P22*'Market Data'!$W$51))</f>
        <v>0</v>
      </c>
      <c r="AM22" s="796">
        <f>IF('Market Penetration'!Q22=0,0,1000*Q22*'Market Data'!$Y$51/('Market Penetration'!Q22*'Market Data'!$W$51))</f>
        <v>0</v>
      </c>
      <c r="AN22" s="482">
        <f>IF('Market Penetration'!R22=0,0,1000*R22*'Market Data'!$Y$51/('Market Penetration'!R22*'Market Data'!$W$51))</f>
        <v>0</v>
      </c>
      <c r="AO22" s="791">
        <f>IF('Market Penetration'!S22=0,0,1000*S22*'Market Data'!$Y$51/('Market Penetration'!S22*'Market Data'!$W$51))</f>
        <v>0</v>
      </c>
      <c r="AP22" s="481">
        <f>IF('Market Penetration'!T22=0,0,1000*T22*('Market Data'!$E$51+'Market Data'!$O$51+'Market Data'!$Y$51)/('Market Penetration'!T22*('Market Data'!$C$51+'Market Data'!$M$51+'Market Data'!$W$51)))</f>
        <v>81431.79238084791</v>
      </c>
      <c r="AQ22" s="483">
        <f>IF('Market Penetration'!U22=0,0,1000*U22*('Market Data'!$E$51+'Market Data'!$O$51+'Market Data'!$Y$51)/('Market Penetration'!U22*('Market Data'!$C$51+'Market Data'!$M$51+'Market Data'!$W$51)))</f>
        <v>0</v>
      </c>
    </row>
    <row r="23" spans="1:43" ht="15" x14ac:dyDescent="0.25">
      <c r="A23" s="447">
        <v>2021</v>
      </c>
      <c r="B23" s="448">
        <f t="shared" si="12"/>
        <v>0.95489350867560285</v>
      </c>
      <c r="C23" s="449">
        <f>'7&amp;8 Sleep'!$M90+'7&amp;8 Sleep'!$Z90</f>
        <v>2.9064884230796759E-2</v>
      </c>
      <c r="D23" s="449">
        <f>'7&amp;8 Sleep'!$M142+'7&amp;8 Sleep'!$Z142</f>
        <v>1.6041607093600356E-2</v>
      </c>
      <c r="E23" s="802">
        <f>'7&amp;8 Sleep'!$M194+'7&amp;8 Sleep'!$Z194</f>
        <v>0</v>
      </c>
      <c r="F23" s="449">
        <f>'7&amp;8 Sleep'!$M247+'7&amp;8 Sleep'!$Z247</f>
        <v>0</v>
      </c>
      <c r="G23" s="760">
        <f>'7&amp;8 Sleep'!$M300+'7&amp;8 Sleep'!$Z300</f>
        <v>0</v>
      </c>
      <c r="H23" s="961">
        <f t="shared" si="13"/>
        <v>0.96265132818875454</v>
      </c>
      <c r="I23" s="760">
        <f>'7&amp;8 Day'!$M90+'7&amp;8 Day'!$Z90</f>
        <v>2.2689427131164227E-2</v>
      </c>
      <c r="J23" s="760">
        <f>'7&amp;8 Day'!$M142+'7&amp;8 Day'!$Z142</f>
        <v>1.4659244680081219E-2</v>
      </c>
      <c r="K23" s="760">
        <f>'7&amp;8 Day'!$M194+'7&amp;8 Day'!$Z194</f>
        <v>0</v>
      </c>
      <c r="L23" s="760">
        <f>'7&amp;8 Day'!$M247+'7&amp;8 Day'!$Z247</f>
        <v>0</v>
      </c>
      <c r="M23" s="807">
        <f>'7&amp;8 Day'!$M300+'7&amp;8 Day'!$Z300</f>
        <v>0</v>
      </c>
      <c r="N23" s="448">
        <f t="shared" si="14"/>
        <v>1</v>
      </c>
      <c r="O23" s="449">
        <f>'7&amp;8 SU'!$M90+'7&amp;8 SU'!$Z90</f>
        <v>0</v>
      </c>
      <c r="P23" s="449">
        <f>'7&amp;8 SU'!$M142+'7&amp;8 SU'!$Z142</f>
        <v>0</v>
      </c>
      <c r="Q23" s="802">
        <f>'7&amp;8 SU'!$M194+'7&amp;8 SU'!$Z194</f>
        <v>0</v>
      </c>
      <c r="R23" s="449">
        <f>'7&amp;8 SU'!$M247+'7&amp;8 SU'!$Z247</f>
        <v>0</v>
      </c>
      <c r="S23" s="760">
        <f>'7&amp;8 SU'!$M300+'7&amp;8 SU'!$Z300</f>
        <v>0</v>
      </c>
      <c r="T23" s="451">
        <f>B23*'Market Data'!$E$52+H23*'Market Data'!$O$52+N23*+N23*'Market Data'!$Y$52</f>
        <v>0.96081514412981539</v>
      </c>
      <c r="U23" s="452">
        <f>SUM(C23:G23)*'Market Data'!$E$52+SUM(I23:M23)*'Market Data'!$O$52+SUM(O23:S23)*+N23*'Market Data'!$Y$52</f>
        <v>3.9184855870184575E-2</v>
      </c>
      <c r="W23" s="447">
        <v>2021</v>
      </c>
      <c r="X23" s="484">
        <f>IF('Market Penetration'!B23=0,0,1000*B23*'Market Data'!$E$51/('Market Penetration'!B23*'Market Data'!$C$51))</f>
        <v>114093.56016862109</v>
      </c>
      <c r="Y23" s="485">
        <f>IF('Market Penetration'!C23=0,0,1000*C23*'Market Data'!$E$51/('Market Penetration'!C23*'Market Data'!$C$51))</f>
        <v>118352.937304336</v>
      </c>
      <c r="Z23" s="485">
        <f>IF('Market Penetration'!D23=0,0,1000*D23*'Market Data'!$E$51/('Market Penetration'!D23*'Market Data'!$C$51))</f>
        <v>119114.55508410733</v>
      </c>
      <c r="AA23" s="797">
        <f>IF('Market Penetration'!E23=0,0,1000*E23*'Market Data'!$E$51/('Market Penetration'!E23*'Market Data'!$C$51))</f>
        <v>0</v>
      </c>
      <c r="AB23" s="485">
        <f>IF('Market Penetration'!F23=0,0,1000*F23*'Market Data'!$E$51/('Market Penetration'!F23*'Market Data'!$C$51))</f>
        <v>0</v>
      </c>
      <c r="AC23" s="792">
        <f>IF('Market Penetration'!G23=0,0,1000*G23*'Market Data'!$E$51/('Market Penetration'!G23*'Market Data'!$C$51))</f>
        <v>0</v>
      </c>
      <c r="AD23" s="484">
        <f>IF('Market Penetration'!H23=0,0,1000*H23*'Market Data'!$O$51/('Market Penetration'!H23*'Market Data'!$M$51))</f>
        <v>76620.863437385153</v>
      </c>
      <c r="AE23" s="485">
        <f>IF('Market Penetration'!I23=0,0,1000*I23*'Market Data'!$O$51/('Market Penetration'!I23*'Market Data'!$M$51))</f>
        <v>90406.466302409623</v>
      </c>
      <c r="AF23" s="485">
        <f>IF('Market Penetration'!J23=0,0,1000*J23*'Market Data'!$O$51/('Market Penetration'!J23*'Market Data'!$M$51))</f>
        <v>83873.511212576617</v>
      </c>
      <c r="AG23" s="485">
        <f>IF('Market Penetration'!K23=0,0,1000*K23*'Market Data'!$O$51/('Market Penetration'!K23*'Market Data'!$M$51))</f>
        <v>0</v>
      </c>
      <c r="AH23" s="485">
        <f>IF('Market Penetration'!L23=0,0,1000*L23*'Market Data'!$O$51/('Market Penetration'!L23*'Market Data'!$M$51))</f>
        <v>0</v>
      </c>
      <c r="AI23" s="966">
        <f>IF('Market Penetration'!M23=0,0,1000*M23*'Market Data'!$O$51/('Market Penetration'!M23*'Market Data'!$M$51))</f>
        <v>0</v>
      </c>
      <c r="AJ23" s="484">
        <f>IF('Market Penetration'!N23=0,0,1000*N23*'Market Data'!$Y$51/('Market Penetration'!N23*'Market Data'!$W$51))</f>
        <v>27261.021505205488</v>
      </c>
      <c r="AK23" s="485">
        <f>IF('Market Penetration'!O23=0,0,1000*O23*'Market Data'!$Y$51/('Market Penetration'!O23*'Market Data'!$W$51))</f>
        <v>0</v>
      </c>
      <c r="AL23" s="485">
        <f>IF('Market Penetration'!P23=0,0,1000*P23*'Market Data'!$Y$51/('Market Penetration'!P23*'Market Data'!$W$51))</f>
        <v>0</v>
      </c>
      <c r="AM23" s="797">
        <f>IF('Market Penetration'!Q23=0,0,1000*Q23*'Market Data'!$Y$51/('Market Penetration'!Q23*'Market Data'!$W$51))</f>
        <v>0</v>
      </c>
      <c r="AN23" s="485">
        <f>IF('Market Penetration'!R23=0,0,1000*R23*'Market Data'!$Y$51/('Market Penetration'!R23*'Market Data'!$W$51))</f>
        <v>0</v>
      </c>
      <c r="AO23" s="792">
        <f>IF('Market Penetration'!S23=0,0,1000*S23*'Market Data'!$Y$51/('Market Penetration'!S23*'Market Data'!$W$51))</f>
        <v>0</v>
      </c>
      <c r="AP23" s="486">
        <f>IF('Market Penetration'!T23=0,0,1000*T23*('Market Data'!$E$51+'Market Data'!$O$51+'Market Data'!$Y$51)/('Market Penetration'!T23*('Market Data'!$C$51+'Market Data'!$M$51+'Market Data'!$W$51)))</f>
        <v>80584.616669204275</v>
      </c>
      <c r="AQ23" s="487">
        <f>IF('Market Penetration'!U23=0,0,1000*U23*('Market Data'!$E$51+'Market Data'!$O$51+'Market Data'!$Y$51)/('Market Penetration'!U23*('Market Data'!$C$51+'Market Data'!$M$51+'Market Data'!$W$51)))</f>
        <v>109713.27007981596</v>
      </c>
    </row>
    <row r="24" spans="1:43" ht="15" x14ac:dyDescent="0.25">
      <c r="A24" s="421">
        <v>2022</v>
      </c>
      <c r="B24" s="441">
        <f t="shared" si="12"/>
        <v>0.88787660925468415</v>
      </c>
      <c r="C24" s="442">
        <f>'7&amp;8 Sleep'!$M91+'7&amp;8 Sleep'!$Z91</f>
        <v>6.4015629127708779E-2</v>
      </c>
      <c r="D24" s="442">
        <f>'7&amp;8 Sleep'!$M143+'7&amp;8 Sleep'!$Z143</f>
        <v>4.8100959801496222E-2</v>
      </c>
      <c r="E24" s="800">
        <f>'7&amp;8 Sleep'!$M195+'7&amp;8 Sleep'!$Z195</f>
        <v>6.8018161108623473E-6</v>
      </c>
      <c r="F24" s="442">
        <f>'7&amp;8 Sleep'!$M248+'7&amp;8 Sleep'!$Z248</f>
        <v>0</v>
      </c>
      <c r="G24" s="758">
        <f>'7&amp;8 Sleep'!$M301+'7&amp;8 Sleep'!$Z301</f>
        <v>0</v>
      </c>
      <c r="H24" s="959">
        <f t="shared" si="13"/>
        <v>0.9085924431045036</v>
      </c>
      <c r="I24" s="758">
        <f>'7&amp;8 Day'!$M91+'7&amp;8 Day'!$Z91</f>
        <v>5.3397277420364708E-2</v>
      </c>
      <c r="J24" s="758">
        <f>'7&amp;8 Day'!$M143+'7&amp;8 Day'!$Z143</f>
        <v>3.8010279475131657E-2</v>
      </c>
      <c r="K24" s="758">
        <f>'7&amp;8 Day'!$M195+'7&amp;8 Day'!$Z195</f>
        <v>0</v>
      </c>
      <c r="L24" s="758">
        <f>'7&amp;8 Day'!$M248+'7&amp;8 Day'!$Z248</f>
        <v>0</v>
      </c>
      <c r="M24" s="805">
        <f>'7&amp;8 Day'!$M301+'7&amp;8 Day'!$Z301</f>
        <v>0</v>
      </c>
      <c r="N24" s="441">
        <f t="shared" si="14"/>
        <v>0.96877964705959607</v>
      </c>
      <c r="O24" s="442">
        <f>'7&amp;8 SU'!$M91+'7&amp;8 SU'!$Z91</f>
        <v>1.3548204837509868E-2</v>
      </c>
      <c r="P24" s="442">
        <f>'7&amp;8 SU'!$M143+'7&amp;8 SU'!$Z143</f>
        <v>1.5430752332382513E-2</v>
      </c>
      <c r="Q24" s="800">
        <f>'7&amp;8 SU'!$M195+'7&amp;8 SU'!$Z195</f>
        <v>2.2413957705115458E-3</v>
      </c>
      <c r="R24" s="442">
        <f>'7&amp;8 SU'!$M248+'7&amp;8 SU'!$Z248</f>
        <v>0</v>
      </c>
      <c r="S24" s="758">
        <f>'7&amp;8 SU'!$M301+'7&amp;8 SU'!$Z301</f>
        <v>0</v>
      </c>
      <c r="T24" s="441">
        <f>B24*'Market Data'!$E$52+H24*'Market Data'!$O$52+N24*+N24*'Market Data'!$Y$52</f>
        <v>0.8974304854107189</v>
      </c>
      <c r="U24" s="443">
        <f>SUM(C24:G24)*'Market Data'!$E$52+SUM(I24:M24)*'Market Data'!$O$52+SUM(O24:S24)*+N24*'Market Data'!$Y$52</f>
        <v>9.9769723062629587E-2</v>
      </c>
      <c r="W24" s="421">
        <v>2022</v>
      </c>
      <c r="X24" s="478">
        <f>IF('Market Penetration'!B24=0,0,1000*B24*'Market Data'!$E$51/('Market Penetration'!B24*'Market Data'!$C$51))</f>
        <v>113715.47549622052</v>
      </c>
      <c r="Y24" s="479">
        <f>IF('Market Penetration'!C24=0,0,1000*C24*'Market Data'!$E$51/('Market Penetration'!C24*'Market Data'!$C$51))</f>
        <v>117311.00825313355</v>
      </c>
      <c r="Z24" s="479">
        <f>IF('Market Penetration'!D24=0,0,1000*D24*'Market Data'!$E$51/('Market Penetration'!D24*'Market Data'!$C$51))</f>
        <v>121454.09169631115</v>
      </c>
      <c r="AA24" s="795">
        <f>IF('Market Penetration'!E24=0,0,1000*E24*'Market Data'!$E$51/('Market Penetration'!E24*'Market Data'!$C$51))</f>
        <v>230073.60545896069</v>
      </c>
      <c r="AB24" s="479">
        <f>IF('Market Penetration'!F24=0,0,1000*F24*'Market Data'!$E$51/('Market Penetration'!F24*'Market Data'!$C$51))</f>
        <v>0</v>
      </c>
      <c r="AC24" s="790">
        <f>IF('Market Penetration'!G24=0,0,1000*G24*'Market Data'!$E$51/('Market Penetration'!G24*'Market Data'!$C$51))</f>
        <v>0</v>
      </c>
      <c r="AD24" s="478">
        <f>IF('Market Penetration'!H24=0,0,1000*H24*'Market Data'!$O$51/('Market Penetration'!H24*'Market Data'!$M$51))</f>
        <v>76031.098395536697</v>
      </c>
      <c r="AE24" s="479">
        <f>IF('Market Penetration'!I24=0,0,1000*I24*'Market Data'!$O$51/('Market Penetration'!I24*'Market Data'!$M$51))</f>
        <v>86210.436054982536</v>
      </c>
      <c r="AF24" s="479">
        <f>IF('Market Penetration'!J24=0,0,1000*J24*'Market Data'!$O$51/('Market Penetration'!J24*'Market Data'!$M$51))</f>
        <v>90517.858700642551</v>
      </c>
      <c r="AG24" s="479">
        <f>IF('Market Penetration'!K24=0,0,1000*K24*'Market Data'!$O$51/('Market Penetration'!K24*'Market Data'!$M$51))</f>
        <v>0</v>
      </c>
      <c r="AH24" s="479">
        <f>IF('Market Penetration'!L24=0,0,1000*L24*'Market Data'!$O$51/('Market Penetration'!L24*'Market Data'!$M$51))</f>
        <v>0</v>
      </c>
      <c r="AI24" s="480">
        <f>IF('Market Penetration'!M24=0,0,1000*M24*'Market Data'!$O$51/('Market Penetration'!M24*'Market Data'!$M$51))</f>
        <v>0</v>
      </c>
      <c r="AJ24" s="478">
        <f>IF('Market Penetration'!N24=0,0,1000*N24*'Market Data'!$Y$51/('Market Penetration'!N24*'Market Data'!$W$51))</f>
        <v>27132.85202496927</v>
      </c>
      <c r="AK24" s="479">
        <f>IF('Market Penetration'!O24=0,0,1000*O24*'Market Data'!$Y$51/('Market Penetration'!O24*'Market Data'!$W$51))</f>
        <v>29434.7725328425</v>
      </c>
      <c r="AL24" s="479">
        <f>IF('Market Penetration'!P24=0,0,1000*P24*'Market Data'!$Y$51/('Market Penetration'!P24*'Market Data'!$W$51))</f>
        <v>31381.993604457821</v>
      </c>
      <c r="AM24" s="795">
        <f>IF('Market Penetration'!Q24=0,0,1000*Q24*'Market Data'!$Y$51/('Market Penetration'!Q24*'Market Data'!$W$51))</f>
        <v>88306.10737237276</v>
      </c>
      <c r="AN24" s="479">
        <f>IF('Market Penetration'!R24=0,0,1000*R24*'Market Data'!$Y$51/('Market Penetration'!R24*'Market Data'!$W$51))</f>
        <v>0</v>
      </c>
      <c r="AO24" s="790">
        <f>IF('Market Penetration'!S24=0,0,1000*S24*'Market Data'!$Y$51/('Market Penetration'!S24*'Market Data'!$W$51))</f>
        <v>0</v>
      </c>
      <c r="AP24" s="478">
        <f>IF('Market Penetration'!T24=0,0,1000*T24*('Market Data'!$E$51+'Market Data'!$O$51+'Market Data'!$Y$51)/('Market Penetration'!T24*('Market Data'!$C$51+'Market Data'!$M$51+'Market Data'!$W$51)))</f>
        <v>79336.724511639593</v>
      </c>
      <c r="AQ24" s="480">
        <f>IF('Market Penetration'!U24=0,0,1000*U24*('Market Data'!$E$51+'Market Data'!$O$51+'Market Data'!$Y$51)/('Market Penetration'!U24*('Market Data'!$C$51+'Market Data'!$M$51+'Market Data'!$W$51)))</f>
        <v>103009.30857509469</v>
      </c>
    </row>
    <row r="25" spans="1:43" ht="15" x14ac:dyDescent="0.25">
      <c r="A25" s="421">
        <v>2023</v>
      </c>
      <c r="B25" s="441">
        <f t="shared" si="12"/>
        <v>0.74863224008934703</v>
      </c>
      <c r="C25" s="442">
        <f>'7&amp;8 Sleep'!$M92+'7&amp;8 Sleep'!$Z92</f>
        <v>0.13359924782407018</v>
      </c>
      <c r="D25" s="442">
        <f>'7&amp;8 Sleep'!$M144+'7&amp;8 Sleep'!$Z144</f>
        <v>0.11592570737858167</v>
      </c>
      <c r="E25" s="800">
        <f>'7&amp;8 Sleep'!$M196+'7&amp;8 Sleep'!$Z196</f>
        <v>1.842804708001213E-3</v>
      </c>
      <c r="F25" s="442">
        <f>'7&amp;8 Sleep'!$M249+'7&amp;8 Sleep'!$Z249</f>
        <v>0</v>
      </c>
      <c r="G25" s="758">
        <f>'7&amp;8 Sleep'!$M302+'7&amp;8 Sleep'!$Z302</f>
        <v>0</v>
      </c>
      <c r="H25" s="959">
        <f t="shared" si="13"/>
        <v>0.80193625090629439</v>
      </c>
      <c r="I25" s="758">
        <f>'7&amp;8 Day'!$M92+'7&amp;8 Day'!$Z92</f>
        <v>0.11271365981282093</v>
      </c>
      <c r="J25" s="758">
        <f>'7&amp;8 Day'!$M144+'7&amp;8 Day'!$Z144</f>
        <v>8.535008928088475E-2</v>
      </c>
      <c r="K25" s="758">
        <f>'7&amp;8 Day'!$M196+'7&amp;8 Day'!$Z196</f>
        <v>0</v>
      </c>
      <c r="L25" s="758">
        <f>'7&amp;8 Day'!$M249+'7&amp;8 Day'!$Z249</f>
        <v>0</v>
      </c>
      <c r="M25" s="805">
        <f>'7&amp;8 Day'!$M302+'7&amp;8 Day'!$Z302</f>
        <v>0</v>
      </c>
      <c r="N25" s="441">
        <f t="shared" si="14"/>
        <v>0.92380517549853014</v>
      </c>
      <c r="O25" s="442">
        <f>'7&amp;8 SU'!$M92+'7&amp;8 SU'!$Z92</f>
        <v>3.3000616875200707E-2</v>
      </c>
      <c r="P25" s="442">
        <f>'7&amp;8 SU'!$M144+'7&amp;8 SU'!$Z144</f>
        <v>3.5967308201413334E-2</v>
      </c>
      <c r="Q25" s="800">
        <f>'7&amp;8 SU'!$M196+'7&amp;8 SU'!$Z196</f>
        <v>7.2268994248558364E-3</v>
      </c>
      <c r="R25" s="442">
        <f>'7&amp;8 SU'!$M249+'7&amp;8 SU'!$Z249</f>
        <v>0</v>
      </c>
      <c r="S25" s="758">
        <f>'7&amp;8 SU'!$M302+'7&amp;8 SU'!$Z302</f>
        <v>0</v>
      </c>
      <c r="T25" s="441">
        <f>B25*'Market Data'!$E$52+H25*'Market Data'!$O$52+N25*+N25*'Market Data'!$Y$52</f>
        <v>0.77092291316496464</v>
      </c>
      <c r="U25" s="443">
        <f>SUM(C25:G25)*'Market Data'!$E$52+SUM(I25:M25)*'Market Data'!$O$52+SUM(O25:S25)*+N25*'Market Data'!$Y$52</f>
        <v>0.22224405633018685</v>
      </c>
      <c r="W25" s="421">
        <v>2023</v>
      </c>
      <c r="X25" s="478">
        <f>IF('Market Penetration'!B25=0,0,1000*B25*'Market Data'!$E$51/('Market Penetration'!B25*'Market Data'!$C$51))</f>
        <v>112758.52957700239</v>
      </c>
      <c r="Y25" s="479">
        <f>IF('Market Penetration'!C25=0,0,1000*C25*'Market Data'!$E$51/('Market Penetration'!C25*'Market Data'!$C$51))</f>
        <v>116895.96683221892</v>
      </c>
      <c r="Z25" s="479">
        <f>IF('Market Penetration'!D25=0,0,1000*D25*'Market Data'!$E$51/('Market Penetration'!D25*'Market Data'!$C$51))</f>
        <v>120926.09381486895</v>
      </c>
      <c r="AA25" s="795">
        <f>IF('Market Penetration'!E25=0,0,1000*E25*'Market Data'!$E$51/('Market Penetration'!E25*'Market Data'!$C$51))</f>
        <v>208203.22200620084</v>
      </c>
      <c r="AB25" s="479">
        <f>IF('Market Penetration'!F25=0,0,1000*F25*'Market Data'!$E$51/('Market Penetration'!F25*'Market Data'!$C$51))</f>
        <v>0</v>
      </c>
      <c r="AC25" s="790">
        <f>IF('Market Penetration'!G25=0,0,1000*G25*'Market Data'!$E$51/('Market Penetration'!G25*'Market Data'!$C$51))</f>
        <v>0</v>
      </c>
      <c r="AD25" s="478">
        <f>IF('Market Penetration'!H25=0,0,1000*H25*'Market Data'!$O$51/('Market Penetration'!H25*'Market Data'!$M$51))</f>
        <v>74121.391961113579</v>
      </c>
      <c r="AE25" s="479">
        <f>IF('Market Penetration'!I25=0,0,1000*I25*'Market Data'!$O$51/('Market Penetration'!I25*'Market Data'!$M$51))</f>
        <v>83870.820041188083</v>
      </c>
      <c r="AF25" s="479">
        <f>IF('Market Penetration'!J25=0,0,1000*J25*'Market Data'!$O$51/('Market Penetration'!J25*'Market Data'!$M$51))</f>
        <v>103272.78702762608</v>
      </c>
      <c r="AG25" s="479">
        <f>IF('Market Penetration'!K25=0,0,1000*K25*'Market Data'!$O$51/('Market Penetration'!K25*'Market Data'!$M$51))</f>
        <v>0</v>
      </c>
      <c r="AH25" s="479">
        <f>IF('Market Penetration'!L25=0,0,1000*L25*'Market Data'!$O$51/('Market Penetration'!L25*'Market Data'!$M$51))</f>
        <v>0</v>
      </c>
      <c r="AI25" s="480">
        <f>IF('Market Penetration'!M25=0,0,1000*M25*'Market Data'!$O$51/('Market Penetration'!M25*'Market Data'!$M$51))</f>
        <v>0</v>
      </c>
      <c r="AJ25" s="478">
        <f>IF('Market Penetration'!N25=0,0,1000*N25*'Market Data'!$Y$51/('Market Penetration'!N25*'Market Data'!$W$51))</f>
        <v>26926.171831237472</v>
      </c>
      <c r="AK25" s="479">
        <f>IF('Market Penetration'!O25=0,0,1000*O25*'Market Data'!$Y$51/('Market Penetration'!O25*'Market Data'!$W$51))</f>
        <v>28926.379490339499</v>
      </c>
      <c r="AL25" s="479">
        <f>IF('Market Penetration'!P25=0,0,1000*P25*'Market Data'!$Y$51/('Market Penetration'!P25*'Market Data'!$W$51))</f>
        <v>31466.067066902237</v>
      </c>
      <c r="AM25" s="795">
        <f>IF('Market Penetration'!Q25=0,0,1000*Q25*'Market Data'!$Y$51/('Market Penetration'!Q25*'Market Data'!$W$51))</f>
        <v>80574.363543333326</v>
      </c>
      <c r="AN25" s="479">
        <f>IF('Market Penetration'!R25=0,0,1000*R25*'Market Data'!$Y$51/('Market Penetration'!R25*'Market Data'!$W$51))</f>
        <v>0</v>
      </c>
      <c r="AO25" s="790">
        <f>IF('Market Penetration'!S25=0,0,1000*S25*'Market Data'!$Y$51/('Market Penetration'!S25*'Market Data'!$W$51))</f>
        <v>0</v>
      </c>
      <c r="AP25" s="478">
        <f>IF('Market Penetration'!T25=0,0,1000*T25*('Market Data'!$E$51+'Market Data'!$O$51+'Market Data'!$Y$51)/('Market Penetration'!T25*('Market Data'!$C$51+'Market Data'!$M$51+'Market Data'!$W$51)))</f>
        <v>76090.04326876087</v>
      </c>
      <c r="AQ25" s="480">
        <f>IF('Market Penetration'!U25=0,0,1000*U25*('Market Data'!$E$51+'Market Data'!$O$51+'Market Data'!$Y$51)/('Market Penetration'!U25*('Market Data'!$C$51+'Market Data'!$M$51+'Market Data'!$W$51)))</f>
        <v>103441.62613190257</v>
      </c>
    </row>
    <row r="26" spans="1:43" ht="15" x14ac:dyDescent="0.25">
      <c r="A26" s="421">
        <v>2024</v>
      </c>
      <c r="B26" s="441">
        <f t="shared" si="12"/>
        <v>0.53721372238788789</v>
      </c>
      <c r="C26" s="442">
        <f>'7&amp;8 Sleep'!$M93+'7&amp;8 Sleep'!$Z93</f>
        <v>0.23407970340422238</v>
      </c>
      <c r="D26" s="442">
        <f>'7&amp;8 Sleep'!$M145+'7&amp;8 Sleep'!$Z145</f>
        <v>0.2140089344744249</v>
      </c>
      <c r="E26" s="800">
        <f>'7&amp;8 Sleep'!$M197+'7&amp;8 Sleep'!$Z197</f>
        <v>1.4697639733464853E-2</v>
      </c>
      <c r="F26" s="442">
        <f>'7&amp;8 Sleep'!$M250+'7&amp;8 Sleep'!$Z250</f>
        <v>0</v>
      </c>
      <c r="G26" s="758">
        <f>'7&amp;8 Sleep'!$M303+'7&amp;8 Sleep'!$Z303</f>
        <v>0</v>
      </c>
      <c r="H26" s="959">
        <f t="shared" si="13"/>
        <v>0.65693176200287084</v>
      </c>
      <c r="I26" s="758">
        <f>'7&amp;8 Day'!$M93+'7&amp;8 Day'!$Z93</f>
        <v>0.18199330943505559</v>
      </c>
      <c r="J26" s="758">
        <f>'7&amp;8 Day'!$M145+'7&amp;8 Day'!$Z145</f>
        <v>0.16107492856207359</v>
      </c>
      <c r="K26" s="758">
        <f>'7&amp;8 Day'!$M197+'7&amp;8 Day'!$Z197</f>
        <v>0</v>
      </c>
      <c r="L26" s="758">
        <f>'7&amp;8 Day'!$M250+'7&amp;8 Day'!$Z250</f>
        <v>0</v>
      </c>
      <c r="M26" s="805">
        <f>'7&amp;8 Day'!$M303+'7&amp;8 Day'!$Z303</f>
        <v>0</v>
      </c>
      <c r="N26" s="441">
        <f t="shared" si="14"/>
        <v>0.84507319234970457</v>
      </c>
      <c r="O26" s="442">
        <f>'7&amp;8 SU'!$M93+'7&amp;8 SU'!$Z93</f>
        <v>6.4734246810948193E-2</v>
      </c>
      <c r="P26" s="442">
        <f>'7&amp;8 SU'!$M145+'7&amp;8 SU'!$Z145</f>
        <v>6.9841057419440175E-2</v>
      </c>
      <c r="Q26" s="800">
        <f>'7&amp;8 SU'!$M197+'7&amp;8 SU'!$Z197</f>
        <v>2.0351503419907095E-2</v>
      </c>
      <c r="R26" s="442">
        <f>'7&amp;8 SU'!$M250+'7&amp;8 SU'!$Z250</f>
        <v>0</v>
      </c>
      <c r="S26" s="758">
        <f>'7&amp;8 SU'!$M303+'7&amp;8 SU'!$Z303</f>
        <v>0</v>
      </c>
      <c r="T26" s="441">
        <f>B26*'Market Data'!$E$52+H26*'Market Data'!$O$52+N26*+N26*'Market Data'!$Y$52</f>
        <v>0.58203984674997677</v>
      </c>
      <c r="U26" s="443">
        <f>SUM(C26:G26)*'Market Data'!$E$52+SUM(I26:M26)*'Market Data'!$O$52+SUM(O26:S26)*+N26*'Market Data'!$Y$52</f>
        <v>0.40406656389379558</v>
      </c>
      <c r="W26" s="421">
        <v>2024</v>
      </c>
      <c r="X26" s="478">
        <f>IF('Market Penetration'!B26=0,0,1000*B26*'Market Data'!$E$51/('Market Penetration'!B26*'Market Data'!$C$51))</f>
        <v>110045.39016287623</v>
      </c>
      <c r="Y26" s="479">
        <f>IF('Market Penetration'!C26=0,0,1000*C26*'Market Data'!$E$51/('Market Penetration'!C26*'Market Data'!$C$51))</f>
        <v>116718.73879516614</v>
      </c>
      <c r="Z26" s="479">
        <f>IF('Market Penetration'!D26=0,0,1000*D26*'Market Data'!$E$51/('Market Penetration'!D26*'Market Data'!$C$51))</f>
        <v>120389.22141434654</v>
      </c>
      <c r="AA26" s="795">
        <f>IF('Market Penetration'!E26=0,0,1000*E26*'Market Data'!$E$51/('Market Penetration'!E26*'Market Data'!$C$51))</f>
        <v>173421.72761064945</v>
      </c>
      <c r="AB26" s="479">
        <f>IF('Market Penetration'!F26=0,0,1000*F26*'Market Data'!$E$51/('Market Penetration'!F26*'Market Data'!$C$51))</f>
        <v>0</v>
      </c>
      <c r="AC26" s="790">
        <f>IF('Market Penetration'!G26=0,0,1000*G26*'Market Data'!$E$51/('Market Penetration'!G26*'Market Data'!$C$51))</f>
        <v>0</v>
      </c>
      <c r="AD26" s="478">
        <f>IF('Market Penetration'!H26=0,0,1000*H26*'Market Data'!$O$51/('Market Penetration'!H26*'Market Data'!$M$51))</f>
        <v>68044.643046916332</v>
      </c>
      <c r="AE26" s="479">
        <f>IF('Market Penetration'!I26=0,0,1000*I26*'Market Data'!$O$51/('Market Penetration'!I26*'Market Data'!$M$51))</f>
        <v>99005.12137621743</v>
      </c>
      <c r="AF26" s="479">
        <f>IF('Market Penetration'!J26=0,0,1000*J26*'Market Data'!$O$51/('Market Penetration'!J26*'Market Data'!$M$51))</f>
        <v>107603.30447134459</v>
      </c>
      <c r="AG26" s="479">
        <f>IF('Market Penetration'!K26=0,0,1000*K26*'Market Data'!$O$51/('Market Penetration'!K26*'Market Data'!$M$51))</f>
        <v>0</v>
      </c>
      <c r="AH26" s="479">
        <f>IF('Market Penetration'!L26=0,0,1000*L26*'Market Data'!$O$51/('Market Penetration'!L26*'Market Data'!$M$51))</f>
        <v>0</v>
      </c>
      <c r="AI26" s="480">
        <f>IF('Market Penetration'!M26=0,0,1000*M26*'Market Data'!$O$51/('Market Penetration'!M26*'Market Data'!$M$51))</f>
        <v>0</v>
      </c>
      <c r="AJ26" s="478">
        <f>IF('Market Penetration'!N26=0,0,1000*N26*'Market Data'!$Y$51/('Market Penetration'!N26*'Market Data'!$W$51))</f>
        <v>26331.733230754853</v>
      </c>
      <c r="AK26" s="479">
        <f>IF('Market Penetration'!O26=0,0,1000*O26*'Market Data'!$Y$51/('Market Penetration'!O26*'Market Data'!$W$51))</f>
        <v>29213.323388741836</v>
      </c>
      <c r="AL26" s="479">
        <f>IF('Market Penetration'!P26=0,0,1000*P26*'Market Data'!$Y$51/('Market Penetration'!P26*'Market Data'!$W$51))</f>
        <v>33308.748780323651</v>
      </c>
      <c r="AM26" s="795">
        <f>IF('Market Penetration'!Q26=0,0,1000*Q26*'Market Data'!$Y$51/('Market Penetration'!Q26*'Market Data'!$W$51))</f>
        <v>73635.769308037052</v>
      </c>
      <c r="AN26" s="479">
        <f>IF('Market Penetration'!R26=0,0,1000*R26*'Market Data'!$Y$51/('Market Penetration'!R26*'Market Data'!$W$51))</f>
        <v>0</v>
      </c>
      <c r="AO26" s="790">
        <f>IF('Market Penetration'!S26=0,0,1000*S26*'Market Data'!$Y$51/('Market Penetration'!S26*'Market Data'!$W$51))</f>
        <v>0</v>
      </c>
      <c r="AP26" s="478">
        <f>IF('Market Penetration'!T26=0,0,1000*T26*('Market Data'!$E$51+'Market Data'!$O$51+'Market Data'!$Y$51)/('Market Penetration'!T26*('Market Data'!$C$51+'Market Data'!$M$51+'Market Data'!$W$51)))</f>
        <v>68665.012470668837</v>
      </c>
      <c r="AQ26" s="480">
        <f>IF('Market Penetration'!U26=0,0,1000*U26*('Market Data'!$E$51+'Market Data'!$O$51+'Market Data'!$Y$51)/('Market Penetration'!U26*('Market Data'!$C$51+'Market Data'!$M$51+'Market Data'!$W$51)))</f>
        <v>106229.77824998679</v>
      </c>
    </row>
    <row r="27" spans="1:43" ht="15" x14ac:dyDescent="0.25">
      <c r="A27" s="420">
        <v>2025</v>
      </c>
      <c r="B27" s="444">
        <f t="shared" si="12"/>
        <v>0.32930498108185902</v>
      </c>
      <c r="C27" s="445">
        <f>'7&amp;8 Sleep'!$M94+'7&amp;8 Sleep'!$Z94</f>
        <v>0.32003082479469375</v>
      </c>
      <c r="D27" s="445">
        <f>'7&amp;8 Sleep'!$M146+'7&amp;8 Sleep'!$Z146</f>
        <v>0.30415705069032811</v>
      </c>
      <c r="E27" s="801">
        <f>'7&amp;8 Sleep'!$M198+'7&amp;8 Sleep'!$Z198</f>
        <v>4.650714343311909E-2</v>
      </c>
      <c r="F27" s="445">
        <f>'7&amp;8 Sleep'!$M251+'7&amp;8 Sleep'!$Z251</f>
        <v>0</v>
      </c>
      <c r="G27" s="759">
        <f>'7&amp;8 Sleep'!$M304+'7&amp;8 Sleep'!$Z304</f>
        <v>0</v>
      </c>
      <c r="H27" s="960">
        <f t="shared" si="13"/>
        <v>0.51929954401133505</v>
      </c>
      <c r="I27" s="759">
        <f>'7&amp;8 Day'!$M94+'7&amp;8 Day'!$Z94</f>
        <v>0.24461669577575562</v>
      </c>
      <c r="J27" s="759">
        <f>'7&amp;8 Day'!$M146+'7&amp;8 Day'!$Z146</f>
        <v>0.23608376021290933</v>
      </c>
      <c r="K27" s="759">
        <f>'7&amp;8 Day'!$M198+'7&amp;8 Day'!$Z198</f>
        <v>0</v>
      </c>
      <c r="L27" s="759">
        <f>'7&amp;8 Day'!$M251+'7&amp;8 Day'!$Z251</f>
        <v>0</v>
      </c>
      <c r="M27" s="806">
        <f>'7&amp;8 Day'!$M304+'7&amp;8 Day'!$Z304</f>
        <v>0</v>
      </c>
      <c r="N27" s="444">
        <f t="shared" si="14"/>
        <v>0.7583806487168685</v>
      </c>
      <c r="O27" s="445">
        <f>'7&amp;8 SU'!$M94+'7&amp;8 SU'!$Z94</f>
        <v>8.0318626108674102E-2</v>
      </c>
      <c r="P27" s="445">
        <f>'7&amp;8 SU'!$M146+'7&amp;8 SU'!$Z146</f>
        <v>0.11544990900057511</v>
      </c>
      <c r="Q27" s="801">
        <f>'7&amp;8 SU'!$M198+'7&amp;8 SU'!$Z198</f>
        <v>4.5850430534300483E-2</v>
      </c>
      <c r="R27" s="445">
        <f>'7&amp;8 SU'!$M251+'7&amp;8 SU'!$Z251</f>
        <v>3.8563958182376492E-7</v>
      </c>
      <c r="S27" s="759">
        <f>'7&amp;8 SU'!$M304+'7&amp;8 SU'!$Z304</f>
        <v>0</v>
      </c>
      <c r="T27" s="444">
        <f>B27*'Market Data'!$E$52+H27*'Market Data'!$O$52+N27*+N27*'Market Data'!$Y$52</f>
        <v>0.39730941275572845</v>
      </c>
      <c r="U27" s="446">
        <f>SUM(C27:G27)*'Market Data'!$E$52+SUM(I27:M27)*'Market Data'!$O$52+SUM(O27:S27)*+N27*'Market Data'!$Y$52</f>
        <v>0.58102254865134229</v>
      </c>
      <c r="W27" s="420">
        <v>2025</v>
      </c>
      <c r="X27" s="481">
        <f>IF('Market Penetration'!B27=0,0,1000*B27*'Market Data'!$E$51/('Market Penetration'!B27*'Market Data'!$C$51))</f>
        <v>103101.88288152596</v>
      </c>
      <c r="Y27" s="482">
        <f>IF('Market Penetration'!C27=0,0,1000*C27*'Market Data'!$E$51/('Market Penetration'!C27*'Market Data'!$C$51))</f>
        <v>117311.35954096827</v>
      </c>
      <c r="Z27" s="482">
        <f>IF('Market Penetration'!D27=0,0,1000*D27*'Market Data'!$E$51/('Market Penetration'!D27*'Market Data'!$C$51))</f>
        <v>120373.21445797346</v>
      </c>
      <c r="AA27" s="796">
        <f>IF('Market Penetration'!E27=0,0,1000*E27*'Market Data'!$E$51/('Market Penetration'!E27*'Market Data'!$C$51))</f>
        <v>154593.18371270812</v>
      </c>
      <c r="AB27" s="482">
        <f>IF('Market Penetration'!F27=0,0,1000*F27*'Market Data'!$E$51/('Market Penetration'!F27*'Market Data'!$C$51))</f>
        <v>0</v>
      </c>
      <c r="AC27" s="791">
        <f>IF('Market Penetration'!G27=0,0,1000*G27*'Market Data'!$E$51/('Market Penetration'!G27*'Market Data'!$C$51))</f>
        <v>0</v>
      </c>
      <c r="AD27" s="481">
        <f>IF('Market Penetration'!H27=0,0,1000*H27*'Market Data'!$O$51/('Market Penetration'!H27*'Market Data'!$M$51))</f>
        <v>61189.977771222664</v>
      </c>
      <c r="AE27" s="482">
        <f>IF('Market Penetration'!I27=0,0,1000*I27*'Market Data'!$O$51/('Market Penetration'!I27*'Market Data'!$M$51))</f>
        <v>106058.96479508895</v>
      </c>
      <c r="AF27" s="482">
        <f>IF('Market Penetration'!J27=0,0,1000*J27*'Market Data'!$O$51/('Market Penetration'!J27*'Market Data'!$M$51))</f>
        <v>107482.82786705319</v>
      </c>
      <c r="AG27" s="482">
        <f>IF('Market Penetration'!K27=0,0,1000*K27*'Market Data'!$O$51/('Market Penetration'!K27*'Market Data'!$M$51))</f>
        <v>0</v>
      </c>
      <c r="AH27" s="482">
        <f>IF('Market Penetration'!L27=0,0,1000*L27*'Market Data'!$O$51/('Market Penetration'!L27*'Market Data'!$M$51))</f>
        <v>0</v>
      </c>
      <c r="AI27" s="483">
        <f>IF('Market Penetration'!M27=0,0,1000*M27*'Market Data'!$O$51/('Market Penetration'!M27*'Market Data'!$M$51))</f>
        <v>0</v>
      </c>
      <c r="AJ27" s="481">
        <f>IF('Market Penetration'!N27=0,0,1000*N27*'Market Data'!$Y$51/('Market Penetration'!N27*'Market Data'!$W$51))</f>
        <v>24549.999831142544</v>
      </c>
      <c r="AK27" s="482">
        <f>IF('Market Penetration'!O27=0,0,1000*O27*'Market Data'!$Y$51/('Market Penetration'!O27*'Market Data'!$W$51))</f>
        <v>36763.929538286866</v>
      </c>
      <c r="AL27" s="482">
        <f>IF('Market Penetration'!P27=0,0,1000*P27*'Market Data'!$Y$51/('Market Penetration'!P27*'Market Data'!$W$51))</f>
        <v>39627.848935338392</v>
      </c>
      <c r="AM27" s="796">
        <f>IF('Market Penetration'!Q27=0,0,1000*Q27*'Market Data'!$Y$51/('Market Penetration'!Q27*'Market Data'!$W$51))</f>
        <v>66155.097657968887</v>
      </c>
      <c r="AN27" s="482">
        <f>IF('Market Penetration'!R27=0,0,1000*R27*'Market Data'!$Y$51/('Market Penetration'!R27*'Market Data'!$W$51))</f>
        <v>224999.99999999994</v>
      </c>
      <c r="AO27" s="791">
        <f>IF('Market Penetration'!S27=0,0,1000*S27*'Market Data'!$Y$51/('Market Penetration'!S27*'Market Data'!$W$51))</f>
        <v>0</v>
      </c>
      <c r="AP27" s="481">
        <f>IF('Market Penetration'!T27=0,0,1000*T27*('Market Data'!$E$51+'Market Data'!$O$51+'Market Data'!$Y$51)/('Market Penetration'!T27*('Market Data'!$C$51+'Market Data'!$M$51+'Market Data'!$W$51)))</f>
        <v>57100.362761274628</v>
      </c>
      <c r="AQ27" s="483">
        <f>IF('Market Penetration'!U27=0,0,1000*U27*('Market Data'!$E$51+'Market Data'!$O$51+'Market Data'!$Y$51)/('Market Penetration'!U27*('Market Data'!$C$51+'Market Data'!$M$51+'Market Data'!$W$51)))</f>
        <v>109171.11920151621</v>
      </c>
    </row>
    <row r="28" spans="1:43" ht="15" x14ac:dyDescent="0.25">
      <c r="A28" s="447">
        <v>2026</v>
      </c>
      <c r="B28" s="448">
        <f t="shared" si="12"/>
        <v>0.17420297366469117</v>
      </c>
      <c r="C28" s="449">
        <f>'7&amp;8 Sleep'!$M95+'7&amp;8 Sleep'!$Z95</f>
        <v>0.37221106219791716</v>
      </c>
      <c r="D28" s="449">
        <f>'7&amp;8 Sleep'!$M147+'7&amp;8 Sleep'!$Z147</f>
        <v>0.35924285493139468</v>
      </c>
      <c r="E28" s="802">
        <f>'7&amp;8 Sleep'!$M199+'7&amp;8 Sleep'!$Z199</f>
        <v>9.4343109205997006E-2</v>
      </c>
      <c r="F28" s="449">
        <f>'7&amp;8 Sleep'!$M252+'7&amp;8 Sleep'!$Z252</f>
        <v>0</v>
      </c>
      <c r="G28" s="760">
        <f>'7&amp;8 Sleep'!$M305+'7&amp;8 Sleep'!$Z305</f>
        <v>0</v>
      </c>
      <c r="H28" s="961">
        <f t="shared" si="13"/>
        <v>0.37616450495403742</v>
      </c>
      <c r="I28" s="760">
        <f>'7&amp;8 Day'!$M95+'7&amp;8 Day'!$Z95</f>
        <v>0.31721292929066625</v>
      </c>
      <c r="J28" s="760">
        <f>'7&amp;8 Day'!$M147+'7&amp;8 Day'!$Z147</f>
        <v>0.30662256575529628</v>
      </c>
      <c r="K28" s="760">
        <f>'7&amp;8 Day'!$M199+'7&amp;8 Day'!$Z199</f>
        <v>0</v>
      </c>
      <c r="L28" s="760">
        <f>'7&amp;8 Day'!$M252+'7&amp;8 Day'!$Z252</f>
        <v>0</v>
      </c>
      <c r="M28" s="807">
        <f>'7&amp;8 Day'!$M305+'7&amp;8 Day'!$Z305</f>
        <v>0</v>
      </c>
      <c r="N28" s="448">
        <f t="shared" si="14"/>
        <v>0.63078160657008087</v>
      </c>
      <c r="O28" s="449">
        <f>'7&amp;8 SU'!$M95+'7&amp;8 SU'!$Z95</f>
        <v>0.11254121325525032</v>
      </c>
      <c r="P28" s="449">
        <f>'7&amp;8 SU'!$M147+'7&amp;8 SU'!$Z147</f>
        <v>0.18292948590757202</v>
      </c>
      <c r="Q28" s="802">
        <f>'7&amp;8 SU'!$M199+'7&amp;8 SU'!$Z199</f>
        <v>7.3738962347107473E-2</v>
      </c>
      <c r="R28" s="449">
        <f>'7&amp;8 SU'!$M252+'7&amp;8 SU'!$Z252</f>
        <v>8.7319199893238425E-6</v>
      </c>
      <c r="S28" s="760">
        <f>'7&amp;8 SU'!$M305+'7&amp;8 SU'!$Z305</f>
        <v>0</v>
      </c>
      <c r="T28" s="451">
        <f>B28*'Market Data'!$E$52+H28*'Market Data'!$O$52+N28*+N28*'Market Data'!$Y$52</f>
        <v>0.24311540895000458</v>
      </c>
      <c r="U28" s="452">
        <f>SUM(C28:G28)*'Market Data'!$E$52+SUM(I28:M28)*'Market Data'!$O$52+SUM(O28:S28)*+N28*'Market Data'!$Y$52</f>
        <v>0.72377367358592171</v>
      </c>
      <c r="W28" s="447">
        <v>2026</v>
      </c>
      <c r="X28" s="484">
        <f>IF('Market Penetration'!B28=0,0,1000*B28*'Market Data'!$E$51/('Market Penetration'!B28*'Market Data'!$C$51))</f>
        <v>92894.593572038721</v>
      </c>
      <c r="Y28" s="485">
        <f>IF('Market Penetration'!C28=0,0,1000*C28*'Market Data'!$E$51/('Market Penetration'!C28*'Market Data'!$C$51))</f>
        <v>116236.57855490697</v>
      </c>
      <c r="Z28" s="485">
        <f>IF('Market Penetration'!D28=0,0,1000*D28*'Market Data'!$E$51/('Market Penetration'!D28*'Market Data'!$C$51))</f>
        <v>119022.66229535075</v>
      </c>
      <c r="AA28" s="797">
        <f>IF('Market Penetration'!E28=0,0,1000*E28*'Market Data'!$E$51/('Market Penetration'!E28*'Market Data'!$C$51))</f>
        <v>144275.77343266833</v>
      </c>
      <c r="AB28" s="485">
        <f>IF('Market Penetration'!F28=0,0,1000*F28*'Market Data'!$E$51/('Market Penetration'!F28*'Market Data'!$C$51))</f>
        <v>0</v>
      </c>
      <c r="AC28" s="792">
        <f>IF('Market Penetration'!G28=0,0,1000*G28*'Market Data'!$E$51/('Market Penetration'!G28*'Market Data'!$C$51))</f>
        <v>0</v>
      </c>
      <c r="AD28" s="484">
        <f>IF('Market Penetration'!H28=0,0,1000*H28*'Market Data'!$O$51/('Market Penetration'!H28*'Market Data'!$M$51))</f>
        <v>53916.670737124266</v>
      </c>
      <c r="AE28" s="485">
        <f>IF('Market Penetration'!I28=0,0,1000*I28*'Market Data'!$O$51/('Market Penetration'!I28*'Market Data'!$M$51))</f>
        <v>102973.96037661082</v>
      </c>
      <c r="AF28" s="485">
        <f>IF('Market Penetration'!J28=0,0,1000*J28*'Market Data'!$O$51/('Market Penetration'!J28*'Market Data'!$M$51))</f>
        <v>104567.77027675069</v>
      </c>
      <c r="AG28" s="485">
        <f>IF('Market Penetration'!K28=0,0,1000*K28*'Market Data'!$O$51/('Market Penetration'!K28*'Market Data'!$M$51))</f>
        <v>0</v>
      </c>
      <c r="AH28" s="485">
        <f>IF('Market Penetration'!L28=0,0,1000*L28*'Market Data'!$O$51/('Market Penetration'!L28*'Market Data'!$M$51))</f>
        <v>0</v>
      </c>
      <c r="AI28" s="966">
        <f>IF('Market Penetration'!M28=0,0,1000*M28*'Market Data'!$O$51/('Market Penetration'!M28*'Market Data'!$M$51))</f>
        <v>0</v>
      </c>
      <c r="AJ28" s="484">
        <f>IF('Market Penetration'!N28=0,0,1000*N28*'Market Data'!$Y$51/('Market Penetration'!N28*'Market Data'!$W$51))</f>
        <v>22534.796772197842</v>
      </c>
      <c r="AK28" s="485">
        <f>IF('Market Penetration'!O28=0,0,1000*O28*'Market Data'!$Y$51/('Market Penetration'!O28*'Market Data'!$W$51))</f>
        <v>39738.82589248936</v>
      </c>
      <c r="AL28" s="485">
        <f>IF('Market Penetration'!P28=0,0,1000*P28*'Market Data'!$Y$51/('Market Penetration'!P28*'Market Data'!$W$51))</f>
        <v>39204.008735653741</v>
      </c>
      <c r="AM28" s="797">
        <f>IF('Market Penetration'!Q28=0,0,1000*Q28*'Market Data'!$Y$51/('Market Penetration'!Q28*'Market Data'!$W$51))</f>
        <v>61819.610735947004</v>
      </c>
      <c r="AN28" s="485">
        <f>IF('Market Penetration'!R28=0,0,1000*R28*'Market Data'!$Y$51/('Market Penetration'!R28*'Market Data'!$W$51))</f>
        <v>212952.88053169561</v>
      </c>
      <c r="AO28" s="792">
        <f>IF('Market Penetration'!S28=0,0,1000*S28*'Market Data'!$Y$51/('Market Penetration'!S28*'Market Data'!$W$51))</f>
        <v>0</v>
      </c>
      <c r="AP28" s="486">
        <f>IF('Market Penetration'!T28=0,0,1000*T28*('Market Data'!$E$51+'Market Data'!$O$51+'Market Data'!$Y$51)/('Market Penetration'!T28*('Market Data'!$C$51+'Market Data'!$M$51+'Market Data'!$W$51)))</f>
        <v>44597.315724484382</v>
      </c>
      <c r="AQ28" s="487">
        <f>IF('Market Penetration'!U28=0,0,1000*U28*('Market Data'!$E$51+'Market Data'!$O$51+'Market Data'!$Y$51)/('Market Penetration'!U28*('Market Data'!$C$51+'Market Data'!$M$51+'Market Data'!$W$51)))</f>
        <v>105987.32990888059</v>
      </c>
    </row>
    <row r="29" spans="1:43" ht="15" x14ac:dyDescent="0.25">
      <c r="A29" s="421">
        <v>2027</v>
      </c>
      <c r="B29" s="441">
        <f t="shared" si="12"/>
        <v>9.3943140241379841E-2</v>
      </c>
      <c r="C29" s="442">
        <f>'7&amp;8 Sleep'!$M96+'7&amp;8 Sleep'!$Z96</f>
        <v>0.38386662372896441</v>
      </c>
      <c r="D29" s="442">
        <f>'7&amp;8 Sleep'!$M148+'7&amp;8 Sleep'!$Z148</f>
        <v>0.37638927224236662</v>
      </c>
      <c r="E29" s="800">
        <f>'7&amp;8 Sleep'!$M200+'7&amp;8 Sleep'!$Z200</f>
        <v>0.1458009637872891</v>
      </c>
      <c r="F29" s="442">
        <f>'7&amp;8 Sleep'!$M253+'7&amp;8 Sleep'!$Z253</f>
        <v>0</v>
      </c>
      <c r="G29" s="758">
        <f>'7&amp;8 Sleep'!$M306+'7&amp;8 Sleep'!$Z306</f>
        <v>0</v>
      </c>
      <c r="H29" s="959">
        <f t="shared" si="13"/>
        <v>0.2852705444803586</v>
      </c>
      <c r="I29" s="758">
        <f>'7&amp;8 Day'!$M96+'7&amp;8 Day'!$Z96</f>
        <v>0.36220076508184107</v>
      </c>
      <c r="J29" s="758">
        <f>'7&amp;8 Day'!$M148+'7&amp;8 Day'!$Z148</f>
        <v>0.35252869043780033</v>
      </c>
      <c r="K29" s="758">
        <f>'7&amp;8 Day'!$M200+'7&amp;8 Day'!$Z200</f>
        <v>0</v>
      </c>
      <c r="L29" s="758">
        <f>'7&amp;8 Day'!$M253+'7&amp;8 Day'!$Z253</f>
        <v>0</v>
      </c>
      <c r="M29" s="805">
        <f>'7&amp;8 Day'!$M306+'7&amp;8 Day'!$Z306</f>
        <v>0</v>
      </c>
      <c r="N29" s="441">
        <f t="shared" si="14"/>
        <v>0.53892226681690014</v>
      </c>
      <c r="O29" s="442">
        <f>'7&amp;8 SU'!$M96+'7&amp;8 SU'!$Z96</f>
        <v>0.14203956480112659</v>
      </c>
      <c r="P29" s="442">
        <f>'7&amp;8 SU'!$M148+'7&amp;8 SU'!$Z148</f>
        <v>0.22125374933069747</v>
      </c>
      <c r="Q29" s="800">
        <f>'7&amp;8 SU'!$M200+'7&amp;8 SU'!$Z200</f>
        <v>9.7666054390027554E-2</v>
      </c>
      <c r="R29" s="442">
        <f>'7&amp;8 SU'!$M253+'7&amp;8 SU'!$Z253</f>
        <v>1.1836466124819843E-4</v>
      </c>
      <c r="S29" s="758">
        <f>'7&amp;8 SU'!$M306+'7&amp;8 SU'!$Z306</f>
        <v>0</v>
      </c>
      <c r="T29" s="441">
        <f>B29*'Market Data'!$E$52+H29*'Market Data'!$O$52+N29*+N29*'Market Data'!$Y$52</f>
        <v>0.15784504989815601</v>
      </c>
      <c r="U29" s="443">
        <f>SUM(C29:G29)*'Market Data'!$E$52+SUM(I29:M29)*'Market Data'!$O$52+SUM(O29:S29)*+N29*'Market Data'!$Y$52</f>
        <v>0.80080623335421652</v>
      </c>
      <c r="W29" s="421">
        <v>2027</v>
      </c>
      <c r="X29" s="478">
        <f>IF('Market Penetration'!B29=0,0,1000*B29*'Market Data'!$E$51/('Market Penetration'!B29*'Market Data'!$C$51))</f>
        <v>79663.771842844173</v>
      </c>
      <c r="Y29" s="479">
        <f>IF('Market Penetration'!C29=0,0,1000*C29*'Market Data'!$E$51/('Market Penetration'!C29*'Market Data'!$C$51))</f>
        <v>115641.68750480979</v>
      </c>
      <c r="Z29" s="479">
        <f>IF('Market Penetration'!D29=0,0,1000*D29*'Market Data'!$E$51/('Market Penetration'!D29*'Market Data'!$C$51))</f>
        <v>117936.39694931834</v>
      </c>
      <c r="AA29" s="795">
        <f>IF('Market Penetration'!E29=0,0,1000*E29*'Market Data'!$E$51/('Market Penetration'!E29*'Market Data'!$C$51))</f>
        <v>137614.530124955</v>
      </c>
      <c r="AB29" s="479">
        <f>IF('Market Penetration'!F29=0,0,1000*F29*'Market Data'!$E$51/('Market Penetration'!F29*'Market Data'!$C$51))</f>
        <v>0</v>
      </c>
      <c r="AC29" s="790">
        <f>IF('Market Penetration'!G29=0,0,1000*G29*'Market Data'!$E$51/('Market Penetration'!G29*'Market Data'!$C$51))</f>
        <v>0</v>
      </c>
      <c r="AD29" s="478">
        <f>IF('Market Penetration'!H29=0,0,1000*H29*'Market Data'!$O$51/('Market Penetration'!H29*'Market Data'!$M$51))</f>
        <v>47971.311315774925</v>
      </c>
      <c r="AE29" s="479">
        <f>IF('Market Penetration'!I29=0,0,1000*I29*'Market Data'!$O$51/('Market Penetration'!I29*'Market Data'!$M$51))</f>
        <v>100983.52465718455</v>
      </c>
      <c r="AF29" s="479">
        <f>IF('Market Penetration'!J29=0,0,1000*J29*'Market Data'!$O$51/('Market Penetration'!J29*'Market Data'!$M$51))</f>
        <v>102000.24945499812</v>
      </c>
      <c r="AG29" s="479">
        <f>IF('Market Penetration'!K29=0,0,1000*K29*'Market Data'!$O$51/('Market Penetration'!K29*'Market Data'!$M$51))</f>
        <v>0</v>
      </c>
      <c r="AH29" s="479">
        <f>IF('Market Penetration'!L29=0,0,1000*L29*'Market Data'!$O$51/('Market Penetration'!L29*'Market Data'!$M$51))</f>
        <v>0</v>
      </c>
      <c r="AI29" s="480">
        <f>IF('Market Penetration'!M29=0,0,1000*M29*'Market Data'!$O$51/('Market Penetration'!M29*'Market Data'!$M$51))</f>
        <v>0</v>
      </c>
      <c r="AJ29" s="478">
        <f>IF('Market Penetration'!N29=0,0,1000*N29*'Market Data'!$Y$51/('Market Penetration'!N29*'Market Data'!$W$51))</f>
        <v>20525.749673178667</v>
      </c>
      <c r="AK29" s="479">
        <f>IF('Market Penetration'!O29=0,0,1000*O29*'Market Data'!$Y$51/('Market Penetration'!O29*'Market Data'!$W$51))</f>
        <v>44438.6128125178</v>
      </c>
      <c r="AL29" s="479">
        <f>IF('Market Penetration'!P29=0,0,1000*P29*'Market Data'!$Y$51/('Market Penetration'!P29*'Market Data'!$W$51))</f>
        <v>39883.534850189673</v>
      </c>
      <c r="AM29" s="795">
        <f>IF('Market Penetration'!Q29=0,0,1000*Q29*'Market Data'!$Y$51/('Market Penetration'!Q29*'Market Data'!$W$51))</f>
        <v>58063.582940865534</v>
      </c>
      <c r="AN29" s="479">
        <f>IF('Market Penetration'!R29=0,0,1000*R29*'Market Data'!$Y$51/('Market Penetration'!R29*'Market Data'!$W$51))</f>
        <v>184779.28491526231</v>
      </c>
      <c r="AO29" s="790">
        <f>IF('Market Penetration'!S29=0,0,1000*S29*'Market Data'!$Y$51/('Market Penetration'!S29*'Market Data'!$W$51))</f>
        <v>0</v>
      </c>
      <c r="AP29" s="478">
        <f>IF('Market Penetration'!T29=0,0,1000*T29*('Market Data'!$E$51+'Market Data'!$O$51+'Market Data'!$Y$51)/('Market Penetration'!T29*('Market Data'!$C$51+'Market Data'!$M$51+'Market Data'!$W$51)))</f>
        <v>34454.284849808915</v>
      </c>
      <c r="AQ29" s="480">
        <f>IF('Market Penetration'!U29=0,0,1000*U29*('Market Data'!$E$51+'Market Data'!$O$51+'Market Data'!$Y$51)/('Market Penetration'!U29*('Market Data'!$C$51+'Market Data'!$M$51+'Market Data'!$W$51)))</f>
        <v>104015.3094547255</v>
      </c>
    </row>
    <row r="30" spans="1:43" ht="15" x14ac:dyDescent="0.25">
      <c r="A30" s="421">
        <v>2028</v>
      </c>
      <c r="B30" s="441">
        <f t="shared" si="12"/>
        <v>5.3956193034973343E-2</v>
      </c>
      <c r="C30" s="442">
        <f>'7&amp;8 Sleep'!$M97+'7&amp;8 Sleep'!$Z97</f>
        <v>0.38323715901769356</v>
      </c>
      <c r="D30" s="442">
        <f>'7&amp;8 Sleep'!$M149+'7&amp;8 Sleep'!$Z149</f>
        <v>0.37704669248349726</v>
      </c>
      <c r="E30" s="800">
        <f>'7&amp;8 Sleep'!$M201+'7&amp;8 Sleep'!$Z201</f>
        <v>0.18575995546383584</v>
      </c>
      <c r="F30" s="442">
        <f>'7&amp;8 Sleep'!$M254+'7&amp;8 Sleep'!$Z254</f>
        <v>0</v>
      </c>
      <c r="G30" s="758">
        <f>'7&amp;8 Sleep'!$M307+'7&amp;8 Sleep'!$Z307</f>
        <v>0</v>
      </c>
      <c r="H30" s="959">
        <f t="shared" si="13"/>
        <v>0.24144461893362423</v>
      </c>
      <c r="I30" s="758">
        <f>'7&amp;8 Day'!$M97+'7&amp;8 Day'!$Z97</f>
        <v>0.38165837090242893</v>
      </c>
      <c r="J30" s="758">
        <f>'7&amp;8 Day'!$M149+'7&amp;8 Day'!$Z149</f>
        <v>0.37689701016394683</v>
      </c>
      <c r="K30" s="758">
        <f>'7&amp;8 Day'!$M201+'7&amp;8 Day'!$Z201</f>
        <v>0</v>
      </c>
      <c r="L30" s="758">
        <f>'7&amp;8 Day'!$M254+'7&amp;8 Day'!$Z254</f>
        <v>0</v>
      </c>
      <c r="M30" s="805">
        <f>'7&amp;8 Day'!$M307+'7&amp;8 Day'!$Z307</f>
        <v>0</v>
      </c>
      <c r="N30" s="441">
        <f t="shared" si="14"/>
        <v>0.48545568956964202</v>
      </c>
      <c r="O30" s="442">
        <f>'7&amp;8 SU'!$M97+'7&amp;8 SU'!$Z97</f>
        <v>0.16263261722039005</v>
      </c>
      <c r="P30" s="442">
        <f>'7&amp;8 SU'!$M149+'7&amp;8 SU'!$Z149</f>
        <v>0.23722907468204091</v>
      </c>
      <c r="Q30" s="800">
        <f>'7&amp;8 SU'!$M201+'7&amp;8 SU'!$Z201</f>
        <v>0.11405290289639924</v>
      </c>
      <c r="R30" s="442">
        <f>'7&amp;8 SU'!$M254+'7&amp;8 SU'!$Z254</f>
        <v>6.2971563152778697E-4</v>
      </c>
      <c r="S30" s="758">
        <f>'7&amp;8 SU'!$M307+'7&amp;8 SU'!$Z307</f>
        <v>0</v>
      </c>
      <c r="T30" s="441">
        <f>B30*'Market Data'!$E$52+H30*'Market Data'!$O$52+N30*+N30*'Market Data'!$Y$52</f>
        <v>0.11560376410171019</v>
      </c>
      <c r="U30" s="443">
        <f>SUM(C30:G30)*'Market Data'!$E$52+SUM(I30:M30)*'Market Data'!$O$52+SUM(O30:S30)*+N30*'Market Data'!$Y$52</f>
        <v>0.83825272166000997</v>
      </c>
      <c r="W30" s="421">
        <v>2028</v>
      </c>
      <c r="X30" s="478">
        <f>IF('Market Penetration'!B30=0,0,1000*B30*'Market Data'!$E$51/('Market Penetration'!B30*'Market Data'!$C$51))</f>
        <v>64499.453005461524</v>
      </c>
      <c r="Y30" s="479">
        <f>IF('Market Penetration'!C30=0,0,1000*C30*'Market Data'!$E$51/('Market Penetration'!C30*'Market Data'!$C$51))</f>
        <v>115905.64574085592</v>
      </c>
      <c r="Z30" s="479">
        <f>IF('Market Penetration'!D30=0,0,1000*D30*'Market Data'!$E$51/('Market Penetration'!D30*'Market Data'!$C$51))</f>
        <v>117280.84856081038</v>
      </c>
      <c r="AA30" s="795">
        <f>IF('Market Penetration'!E30=0,0,1000*E30*'Market Data'!$E$51/('Market Penetration'!E30*'Market Data'!$C$51))</f>
        <v>133472.94433277292</v>
      </c>
      <c r="AB30" s="479">
        <f>IF('Market Penetration'!F30=0,0,1000*F30*'Market Data'!$E$51/('Market Penetration'!F30*'Market Data'!$C$51))</f>
        <v>0</v>
      </c>
      <c r="AC30" s="790">
        <f>IF('Market Penetration'!G30=0,0,1000*G30*'Market Data'!$E$51/('Market Penetration'!G30*'Market Data'!$C$51))</f>
        <v>0</v>
      </c>
      <c r="AD30" s="478">
        <f>IF('Market Penetration'!H30=0,0,1000*H30*'Market Data'!$O$51/('Market Penetration'!H30*'Market Data'!$M$51))</f>
        <v>44668.343602397465</v>
      </c>
      <c r="AE30" s="479">
        <f>IF('Market Penetration'!I30=0,0,1000*I30*'Market Data'!$O$51/('Market Penetration'!I30*'Market Data'!$M$51))</f>
        <v>99840.136948018408</v>
      </c>
      <c r="AF30" s="479">
        <f>IF('Market Penetration'!J30=0,0,1000*J30*'Market Data'!$O$51/('Market Penetration'!J30*'Market Data'!$M$51))</f>
        <v>100195.70052940452</v>
      </c>
      <c r="AG30" s="479">
        <f>IF('Market Penetration'!K30=0,0,1000*K30*'Market Data'!$O$51/('Market Penetration'!K30*'Market Data'!$M$51))</f>
        <v>0</v>
      </c>
      <c r="AH30" s="479">
        <f>IF('Market Penetration'!L30=0,0,1000*L30*'Market Data'!$O$51/('Market Penetration'!L30*'Market Data'!$M$51))</f>
        <v>0</v>
      </c>
      <c r="AI30" s="480">
        <f>IF('Market Penetration'!M30=0,0,1000*M30*'Market Data'!$O$51/('Market Penetration'!M30*'Market Data'!$M$51))</f>
        <v>0</v>
      </c>
      <c r="AJ30" s="478">
        <f>IF('Market Penetration'!N30=0,0,1000*N30*'Market Data'!$Y$51/('Market Penetration'!N30*'Market Data'!$W$51))</f>
        <v>19347.444930474587</v>
      </c>
      <c r="AK30" s="479">
        <f>IF('Market Penetration'!O30=0,0,1000*O30*'Market Data'!$Y$51/('Market Penetration'!O30*'Market Data'!$W$51))</f>
        <v>44685.704320904981</v>
      </c>
      <c r="AL30" s="479">
        <f>IF('Market Penetration'!P30=0,0,1000*P30*'Market Data'!$Y$51/('Market Penetration'!P30*'Market Data'!$W$51))</f>
        <v>40246.277554161468</v>
      </c>
      <c r="AM30" s="795">
        <f>IF('Market Penetration'!Q30=0,0,1000*Q30*'Market Data'!$Y$51/('Market Penetration'!Q30*'Market Data'!$W$51))</f>
        <v>55547.203524898163</v>
      </c>
      <c r="AN30" s="479">
        <f>IF('Market Penetration'!R30=0,0,1000*R30*'Market Data'!$Y$51/('Market Penetration'!R30*'Market Data'!$W$51))</f>
        <v>166812.78714065504</v>
      </c>
      <c r="AO30" s="790">
        <f>IF('Market Penetration'!S30=0,0,1000*S30*'Market Data'!$Y$51/('Market Penetration'!S30*'Market Data'!$W$51))</f>
        <v>0</v>
      </c>
      <c r="AP30" s="478">
        <f>IF('Market Penetration'!T30=0,0,1000*T30*('Market Data'!$E$51+'Market Data'!$O$51+'Market Data'!$Y$51)/('Market Penetration'!T30*('Market Data'!$C$51+'Market Data'!$M$51+'Market Data'!$W$51)))</f>
        <v>28080.822019205738</v>
      </c>
      <c r="AQ30" s="480">
        <f>IF('Market Penetration'!U30=0,0,1000*U30*('Market Data'!$E$51+'Market Data'!$O$51+'Market Data'!$Y$51)/('Market Penetration'!U30*('Market Data'!$C$51+'Market Data'!$M$51+'Market Data'!$W$51)))</f>
        <v>102684.34770724968</v>
      </c>
    </row>
    <row r="31" spans="1:43" ht="15" x14ac:dyDescent="0.25">
      <c r="A31" s="421">
        <v>2029</v>
      </c>
      <c r="B31" s="441">
        <f t="shared" si="12"/>
        <v>3.3909491436712846E-2</v>
      </c>
      <c r="C31" s="442">
        <f>'7&amp;8 Sleep'!$M98+'7&amp;8 Sleep'!$Z98</f>
        <v>0.37389084154667612</v>
      </c>
      <c r="D31" s="442">
        <f>'7&amp;8 Sleep'!$M150+'7&amp;8 Sleep'!$Z150</f>
        <v>0.37095685175224419</v>
      </c>
      <c r="E31" s="800">
        <f>'7&amp;8 Sleep'!$M202+'7&amp;8 Sleep'!$Z202</f>
        <v>0.22124281526436679</v>
      </c>
      <c r="F31" s="442">
        <f>'7&amp;8 Sleep'!$M255+'7&amp;8 Sleep'!$Z255</f>
        <v>0</v>
      </c>
      <c r="G31" s="758">
        <f>'7&amp;8 Sleep'!$M308+'7&amp;8 Sleep'!$Z308</f>
        <v>0</v>
      </c>
      <c r="H31" s="959">
        <f t="shared" si="13"/>
        <v>0.20529786867966227</v>
      </c>
      <c r="I31" s="758">
        <f>'7&amp;8 Day'!$M98+'7&amp;8 Day'!$Z98</f>
        <v>0.39849587002667342</v>
      </c>
      <c r="J31" s="758">
        <f>'7&amp;8 Day'!$M150+'7&amp;8 Day'!$Z150</f>
        <v>0.39620626129366437</v>
      </c>
      <c r="K31" s="758">
        <f>'7&amp;8 Day'!$M202+'7&amp;8 Day'!$Z202</f>
        <v>0</v>
      </c>
      <c r="L31" s="758">
        <f>'7&amp;8 Day'!$M255+'7&amp;8 Day'!$Z255</f>
        <v>0</v>
      </c>
      <c r="M31" s="805">
        <f>'7&amp;8 Day'!$M308+'7&amp;8 Day'!$Z308</f>
        <v>0</v>
      </c>
      <c r="N31" s="441">
        <f t="shared" si="14"/>
        <v>0.45724066223924831</v>
      </c>
      <c r="O31" s="442">
        <f>'7&amp;8 SU'!$M98+'7&amp;8 SU'!$Z98</f>
        <v>0.17362567863661998</v>
      </c>
      <c r="P31" s="442">
        <f>'7&amp;8 SU'!$M150+'7&amp;8 SU'!$Z150</f>
        <v>0.23766204169937366</v>
      </c>
      <c r="Q31" s="800">
        <f>'7&amp;8 SU'!$M202+'7&amp;8 SU'!$Z202</f>
        <v>0.12905068336533532</v>
      </c>
      <c r="R31" s="442">
        <f>'7&amp;8 SU'!$M255+'7&amp;8 SU'!$Z255</f>
        <v>2.4209340594226595E-3</v>
      </c>
      <c r="S31" s="758">
        <f>'7&amp;8 SU'!$M308+'7&amp;8 SU'!$Z308</f>
        <v>0</v>
      </c>
      <c r="T31" s="441">
        <f>B31*'Market Data'!$E$52+H31*'Market Data'!$O$52+N31*+N31*'Market Data'!$Y$52</f>
        <v>9.1075055739257227E-2</v>
      </c>
      <c r="U31" s="443">
        <f>SUM(C31:G31)*'Market Data'!$E$52+SUM(I31:M31)*'Market Data'!$O$52+SUM(O31:S31)*+N31*'Market Data'!$Y$52</f>
        <v>0.86025115130989782</v>
      </c>
      <c r="W31" s="421">
        <v>2029</v>
      </c>
      <c r="X31" s="478">
        <f>IF('Market Penetration'!B31=0,0,1000*B31*'Market Data'!$E$51/('Market Penetration'!B31*'Market Data'!$C$51))</f>
        <v>52613.163545778378</v>
      </c>
      <c r="Y31" s="479">
        <f>IF('Market Penetration'!C31=0,0,1000*C31*'Market Data'!$E$51/('Market Penetration'!C31*'Market Data'!$C$51))</f>
        <v>115991.045552285</v>
      </c>
      <c r="Z31" s="479">
        <f>IF('Market Penetration'!D31=0,0,1000*D31*'Market Data'!$E$51/('Market Penetration'!D31*'Market Data'!$C$51))</f>
        <v>116741.98059112654</v>
      </c>
      <c r="AA31" s="795">
        <f>IF('Market Penetration'!E31=0,0,1000*E31*'Market Data'!$E$51/('Market Penetration'!E31*'Market Data'!$C$51))</f>
        <v>129828.84273257088</v>
      </c>
      <c r="AB31" s="479">
        <f>IF('Market Penetration'!F31=0,0,1000*F31*'Market Data'!$E$51/('Market Penetration'!F31*'Market Data'!$C$51))</f>
        <v>0</v>
      </c>
      <c r="AC31" s="790">
        <f>IF('Market Penetration'!G31=0,0,1000*G31*'Market Data'!$E$51/('Market Penetration'!G31*'Market Data'!$C$51))</f>
        <v>0</v>
      </c>
      <c r="AD31" s="478">
        <f>IF('Market Penetration'!H31=0,0,1000*H31*'Market Data'!$O$51/('Market Penetration'!H31*'Market Data'!$M$51))</f>
        <v>41930.755661283816</v>
      </c>
      <c r="AE31" s="479">
        <f>IF('Market Penetration'!I31=0,0,1000*I31*'Market Data'!$O$51/('Market Penetration'!I31*'Market Data'!$M$51))</f>
        <v>98088.865301016354</v>
      </c>
      <c r="AF31" s="479">
        <f>IF('Market Penetration'!J31=0,0,1000*J31*'Market Data'!$O$51/('Market Penetration'!J31*'Market Data'!$M$51))</f>
        <v>98293.234324063291</v>
      </c>
      <c r="AG31" s="479">
        <f>IF('Market Penetration'!K31=0,0,1000*K31*'Market Data'!$O$51/('Market Penetration'!K31*'Market Data'!$M$51))</f>
        <v>0</v>
      </c>
      <c r="AH31" s="479">
        <f>IF('Market Penetration'!L31=0,0,1000*L31*'Market Data'!$O$51/('Market Penetration'!L31*'Market Data'!$M$51))</f>
        <v>0</v>
      </c>
      <c r="AI31" s="480">
        <f>IF('Market Penetration'!M31=0,0,1000*M31*'Market Data'!$O$51/('Market Penetration'!M31*'Market Data'!$M$51))</f>
        <v>0</v>
      </c>
      <c r="AJ31" s="478">
        <f>IF('Market Penetration'!N31=0,0,1000*N31*'Market Data'!$Y$51/('Market Penetration'!N31*'Market Data'!$W$51))</f>
        <v>18605.62967200093</v>
      </c>
      <c r="AK31" s="479">
        <f>IF('Market Penetration'!O31=0,0,1000*O31*'Market Data'!$Y$51/('Market Penetration'!O31*'Market Data'!$W$51))</f>
        <v>45669.229062593375</v>
      </c>
      <c r="AL31" s="479">
        <f>IF('Market Penetration'!P31=0,0,1000*P31*'Market Data'!$Y$51/('Market Penetration'!P31*'Market Data'!$W$51))</f>
        <v>40838.333185204065</v>
      </c>
      <c r="AM31" s="795">
        <f>IF('Market Penetration'!Q31=0,0,1000*Q31*'Market Data'!$Y$51/('Market Penetration'!Q31*'Market Data'!$W$51))</f>
        <v>52251.130670337785</v>
      </c>
      <c r="AN31" s="479">
        <f>IF('Market Penetration'!R31=0,0,1000*R31*'Market Data'!$Y$51/('Market Penetration'!R31*'Market Data'!$W$51))</f>
        <v>153118.28053850814</v>
      </c>
      <c r="AO31" s="790">
        <f>IF('Market Penetration'!S31=0,0,1000*S31*'Market Data'!$Y$51/('Market Penetration'!S31*'Market Data'!$W$51))</f>
        <v>0</v>
      </c>
      <c r="AP31" s="478">
        <f>IF('Market Penetration'!T31=0,0,1000*T31*('Market Data'!$E$51+'Market Data'!$O$51+'Market Data'!$Y$51)/('Market Penetration'!T31*('Market Data'!$C$51+'Market Data'!$M$51+'Market Data'!$W$51)))</f>
        <v>23847.74446343031</v>
      </c>
      <c r="AQ31" s="480">
        <f>IF('Market Penetration'!U31=0,0,1000*U31*('Market Data'!$E$51+'Market Data'!$O$51+'Market Data'!$Y$51)/('Market Penetration'!U31*('Market Data'!$C$51+'Market Data'!$M$51+'Market Data'!$W$51)))</f>
        <v>101670.18148401513</v>
      </c>
    </row>
    <row r="32" spans="1:43" ht="15" x14ac:dyDescent="0.25">
      <c r="A32" s="420">
        <v>2030</v>
      </c>
      <c r="B32" s="444">
        <f t="shared" si="12"/>
        <v>2.5294774221335747E-2</v>
      </c>
      <c r="C32" s="445">
        <f>'7&amp;8 Sleep'!$M99+'7&amp;8 Sleep'!$Z99</f>
        <v>0.36387560916473871</v>
      </c>
      <c r="D32" s="445">
        <f>'7&amp;8 Sleep'!$M151+'7&amp;8 Sleep'!$Z151</f>
        <v>0.36259063855418261</v>
      </c>
      <c r="E32" s="801">
        <f>'7&amp;8 Sleep'!$M203+'7&amp;8 Sleep'!$Z203</f>
        <v>0.24823897805974293</v>
      </c>
      <c r="F32" s="445">
        <f>'7&amp;8 Sleep'!$M256+'7&amp;8 Sleep'!$Z256</f>
        <v>0</v>
      </c>
      <c r="G32" s="759">
        <f>'7&amp;8 Sleep'!$M309+'7&amp;8 Sleep'!$Z309</f>
        <v>0</v>
      </c>
      <c r="H32" s="960">
        <f t="shared" si="13"/>
        <v>0.1812260425728458</v>
      </c>
      <c r="I32" s="759">
        <f>'7&amp;8 Day'!$M99+'7&amp;8 Day'!$Z99</f>
        <v>0.40983484930250963</v>
      </c>
      <c r="J32" s="759">
        <f>'7&amp;8 Day'!$M151+'7&amp;8 Day'!$Z151</f>
        <v>0.40893910812464462</v>
      </c>
      <c r="K32" s="759">
        <f>'7&amp;8 Day'!$M203+'7&amp;8 Day'!$Z203</f>
        <v>0</v>
      </c>
      <c r="L32" s="759">
        <f>'7&amp;8 Day'!$M256+'7&amp;8 Day'!$Z256</f>
        <v>0</v>
      </c>
      <c r="M32" s="806">
        <f>'7&amp;8 Day'!$M309+'7&amp;8 Day'!$Z309</f>
        <v>0</v>
      </c>
      <c r="N32" s="444">
        <f t="shared" si="14"/>
        <v>0.43350739454022846</v>
      </c>
      <c r="O32" s="445">
        <f>'7&amp;8 SU'!$M99+'7&amp;8 SU'!$Z99</f>
        <v>0.17948950145925952</v>
      </c>
      <c r="P32" s="445">
        <f>'7&amp;8 SU'!$M151+'7&amp;8 SU'!$Z151</f>
        <v>0.24363204203886124</v>
      </c>
      <c r="Q32" s="801">
        <f>'7&amp;8 SU'!$M203+'7&amp;8 SU'!$Z203</f>
        <v>0.13800566195519207</v>
      </c>
      <c r="R32" s="445">
        <f>'7&amp;8 SU'!$M256+'7&amp;8 SU'!$Z256</f>
        <v>5.3654000064586914E-3</v>
      </c>
      <c r="S32" s="759">
        <f>'7&amp;8 SU'!$M309+'7&amp;8 SU'!$Z309</f>
        <v>0</v>
      </c>
      <c r="T32" s="444">
        <f>B32*'Market Data'!$E$52+H32*'Market Data'!$O$52+N32*+N32*'Market Data'!$Y$52</f>
        <v>7.7598102325573098E-2</v>
      </c>
      <c r="U32" s="446">
        <f>SUM(C32:G32)*'Market Data'!$E$52+SUM(I32:M32)*'Market Data'!$O$52+SUM(O32:S32)*+N32*'Market Data'!$Y$52</f>
        <v>0.87159974307660393</v>
      </c>
      <c r="W32" s="420">
        <v>2030</v>
      </c>
      <c r="X32" s="481">
        <f>IF('Market Penetration'!B32=0,0,1000*B32*'Market Data'!$E$51/('Market Penetration'!B32*'Market Data'!$C$51))</f>
        <v>45988.620976532438</v>
      </c>
      <c r="Y32" s="482">
        <f>IF('Market Penetration'!C32=0,0,1000*C32*'Market Data'!$E$51/('Market Penetration'!C32*'Market Data'!$C$51))</f>
        <v>115875.78307475701</v>
      </c>
      <c r="Z32" s="482">
        <f>IF('Market Penetration'!D32=0,0,1000*D32*'Market Data'!$E$51/('Market Penetration'!D32*'Market Data'!$C$51))</f>
        <v>116466.74024136551</v>
      </c>
      <c r="AA32" s="796">
        <f>IF('Market Penetration'!E32=0,0,1000*E32*'Market Data'!$E$51/('Market Penetration'!E32*'Market Data'!$C$51))</f>
        <v>127554.31785950426</v>
      </c>
      <c r="AB32" s="482">
        <f>IF('Market Penetration'!F32=0,0,1000*F32*'Market Data'!$E$51/('Market Penetration'!F32*'Market Data'!$C$51))</f>
        <v>0</v>
      </c>
      <c r="AC32" s="791">
        <f>IF('Market Penetration'!G32=0,0,1000*G32*'Market Data'!$E$51/('Market Penetration'!G32*'Market Data'!$C$51))</f>
        <v>0</v>
      </c>
      <c r="AD32" s="481">
        <f>IF('Market Penetration'!H32=0,0,1000*H32*'Market Data'!$O$51/('Market Penetration'!H32*'Market Data'!$M$51))</f>
        <v>39918.388999214163</v>
      </c>
      <c r="AE32" s="482">
        <f>IF('Market Penetration'!I32=0,0,1000*I32*'Market Data'!$O$51/('Market Penetration'!I32*'Market Data'!$M$51))</f>
        <v>96826.755405070231</v>
      </c>
      <c r="AF32" s="482">
        <f>IF('Market Penetration'!J32=0,0,1000*J32*'Market Data'!$O$51/('Market Penetration'!J32*'Market Data'!$M$51))</f>
        <v>96973.89272315742</v>
      </c>
      <c r="AG32" s="482">
        <f>IF('Market Penetration'!K32=0,0,1000*K32*'Market Data'!$O$51/('Market Penetration'!K32*'Market Data'!$M$51))</f>
        <v>0</v>
      </c>
      <c r="AH32" s="482">
        <f>IF('Market Penetration'!L32=0,0,1000*L32*'Market Data'!$O$51/('Market Penetration'!L32*'Market Data'!$M$51))</f>
        <v>0</v>
      </c>
      <c r="AI32" s="483">
        <f>IF('Market Penetration'!M32=0,0,1000*M32*'Market Data'!$O$51/('Market Penetration'!M32*'Market Data'!$M$51))</f>
        <v>0</v>
      </c>
      <c r="AJ32" s="481">
        <f>IF('Market Penetration'!N32=0,0,1000*N32*'Market Data'!$Y$51/('Market Penetration'!N32*'Market Data'!$W$51))</f>
        <v>18083.032768586985</v>
      </c>
      <c r="AK32" s="482">
        <f>IF('Market Penetration'!O32=0,0,1000*O32*'Market Data'!$Y$51/('Market Penetration'!O32*'Market Data'!$W$51))</f>
        <v>45446.345157683572</v>
      </c>
      <c r="AL32" s="482">
        <f>IF('Market Penetration'!P32=0,0,1000*P32*'Market Data'!$Y$51/('Market Penetration'!P32*'Market Data'!$W$51))</f>
        <v>40670.787195227567</v>
      </c>
      <c r="AM32" s="796">
        <f>IF('Market Penetration'!Q32=0,0,1000*Q32*'Market Data'!$Y$51/('Market Penetration'!Q32*'Market Data'!$W$51))</f>
        <v>50505.999174751771</v>
      </c>
      <c r="AN32" s="482">
        <f>IF('Market Penetration'!R32=0,0,1000*R32*'Market Data'!$Y$51/('Market Penetration'!R32*'Market Data'!$W$51))</f>
        <v>145142.76136131526</v>
      </c>
      <c r="AO32" s="791">
        <f>IF('Market Penetration'!S32=0,0,1000*S32*'Market Data'!$Y$51/('Market Penetration'!S32*'Market Data'!$W$51))</f>
        <v>0</v>
      </c>
      <c r="AP32" s="481">
        <f>IF('Market Penetration'!T32=0,0,1000*T32*('Market Data'!$E$51+'Market Data'!$O$51+'Market Data'!$Y$51)/('Market Penetration'!T32*('Market Data'!$C$51+'Market Data'!$M$51+'Market Data'!$W$51)))</f>
        <v>21461.456073160276</v>
      </c>
      <c r="AQ32" s="483">
        <f>IF('Market Penetration'!U32=0,0,1000*U32*('Market Data'!$E$51+'Market Data'!$O$51+'Market Data'!$Y$51)/('Market Penetration'!U32*('Market Data'!$C$51+'Market Data'!$M$51+'Market Data'!$W$51)))</f>
        <v>100594.11825426389</v>
      </c>
    </row>
    <row r="33" spans="1:43" ht="15" x14ac:dyDescent="0.25">
      <c r="A33" s="447">
        <v>2031</v>
      </c>
      <c r="B33" s="448">
        <f t="shared" si="12"/>
        <v>2.3608914712856421E-2</v>
      </c>
      <c r="C33" s="449">
        <f>'7&amp;8 Sleep'!$M100+'7&amp;8 Sleep'!$Z100</f>
        <v>0.36135814538912669</v>
      </c>
      <c r="D33" s="449">
        <f>'7&amp;8 Sleep'!$M152+'7&amp;8 Sleep'!$Z152</f>
        <v>0.36000433388482328</v>
      </c>
      <c r="E33" s="802">
        <f>'7&amp;8 Sleep'!$M204+'7&amp;8 Sleep'!$Z204</f>
        <v>0.2550286060131936</v>
      </c>
      <c r="F33" s="449">
        <f>'7&amp;8 Sleep'!$M257+'7&amp;8 Sleep'!$Z257</f>
        <v>0</v>
      </c>
      <c r="G33" s="760">
        <f>'7&amp;8 Sleep'!$M310+'7&amp;8 Sleep'!$Z310</f>
        <v>0</v>
      </c>
      <c r="H33" s="961">
        <f t="shared" si="13"/>
        <v>0.17951012660153931</v>
      </c>
      <c r="I33" s="760">
        <f>'7&amp;8 Day'!$M100+'7&amp;8 Day'!$Z100</f>
        <v>0.41019930132934701</v>
      </c>
      <c r="J33" s="760">
        <f>'7&amp;8 Day'!$M152+'7&amp;8 Day'!$Z152</f>
        <v>0.41001549741582155</v>
      </c>
      <c r="K33" s="760">
        <f>'7&amp;8 Day'!$M204+'7&amp;8 Day'!$Z204</f>
        <v>2.7507465329213408E-4</v>
      </c>
      <c r="L33" s="760">
        <f>'7&amp;8 Day'!$M257+'7&amp;8 Day'!$Z257</f>
        <v>0</v>
      </c>
      <c r="M33" s="807">
        <f>'7&amp;8 Day'!$M310+'7&amp;8 Day'!$Z310</f>
        <v>0</v>
      </c>
      <c r="N33" s="448">
        <f t="shared" si="14"/>
        <v>0.43075549118521972</v>
      </c>
      <c r="O33" s="449">
        <f>'7&amp;8 SU'!$M100+'7&amp;8 SU'!$Z100</f>
        <v>0.18207135117499526</v>
      </c>
      <c r="P33" s="449">
        <f>'7&amp;8 SU'!$M152+'7&amp;8 SU'!$Z152</f>
        <v>0.2409736311879383</v>
      </c>
      <c r="Q33" s="802">
        <f>'7&amp;8 SU'!$M204+'7&amp;8 SU'!$Z204</f>
        <v>0.13877916748278663</v>
      </c>
      <c r="R33" s="449">
        <f>'7&amp;8 SU'!$M257+'7&amp;8 SU'!$Z257</f>
        <v>7.4203589690600988E-3</v>
      </c>
      <c r="S33" s="760">
        <f>'7&amp;8 SU'!$M310+'7&amp;8 SU'!$Z310</f>
        <v>0</v>
      </c>
      <c r="T33" s="451">
        <f>B33*'Market Data'!$E$52+H33*'Market Data'!$O$52+N33*+N33*'Market Data'!$Y$52</f>
        <v>7.5842869336109911E-2</v>
      </c>
      <c r="U33" s="452">
        <f>SUM(C33:G33)*'Market Data'!$E$52+SUM(I33:M33)*'Market Data'!$O$52+SUM(O33:S33)*+N33*'Market Data'!$Y$52</f>
        <v>0.87310818975618065</v>
      </c>
      <c r="W33" s="447">
        <v>2031</v>
      </c>
      <c r="X33" s="484">
        <f>IF('Market Penetration'!B33=0,0,1000*B33*'Market Data'!$E$51/('Market Penetration'!B33*'Market Data'!$C$51))</f>
        <v>44245.099940701468</v>
      </c>
      <c r="Y33" s="485">
        <f>IF('Market Penetration'!C33=0,0,1000*C33*'Market Data'!$E$51/('Market Penetration'!C33*'Market Data'!$C$51))</f>
        <v>115922.0361945288</v>
      </c>
      <c r="Z33" s="485">
        <f>IF('Market Penetration'!D33=0,0,1000*D33*'Market Data'!$E$51/('Market Penetration'!D33*'Market Data'!$C$51))</f>
        <v>116559.73038141846</v>
      </c>
      <c r="AA33" s="797">
        <f>IF('Market Penetration'!E33=0,0,1000*E33*'Market Data'!$E$51/('Market Penetration'!E33*'Market Data'!$C$51))</f>
        <v>126866.39264829697</v>
      </c>
      <c r="AB33" s="485">
        <f>IF('Market Penetration'!F33=0,0,1000*F33*'Market Data'!$E$51/('Market Penetration'!F33*'Market Data'!$C$51))</f>
        <v>0</v>
      </c>
      <c r="AC33" s="792">
        <f>IF('Market Penetration'!G33=0,0,1000*G33*'Market Data'!$E$51/('Market Penetration'!G33*'Market Data'!$C$51))</f>
        <v>0</v>
      </c>
      <c r="AD33" s="484">
        <f>IF('Market Penetration'!H33=0,0,1000*H33*'Market Data'!$O$51/('Market Penetration'!H33*'Market Data'!$M$51))</f>
        <v>39783.03856186178</v>
      </c>
      <c r="AE33" s="485">
        <f>IF('Market Penetration'!I33=0,0,1000*I33*'Market Data'!$O$51/('Market Penetration'!I33*'Market Data'!$M$51))</f>
        <v>96767.921657390558</v>
      </c>
      <c r="AF33" s="485">
        <f>IF('Market Penetration'!J33=0,0,1000*J33*'Market Data'!$O$51/('Market Penetration'!J33*'Market Data'!$M$51))</f>
        <v>96767.921657390529</v>
      </c>
      <c r="AG33" s="485">
        <f>IF('Market Penetration'!K33=0,0,1000*K33*'Market Data'!$O$51/('Market Penetration'!K33*'Market Data'!$M$51))</f>
        <v>220570.06440601934</v>
      </c>
      <c r="AH33" s="485">
        <f>IF('Market Penetration'!L33=0,0,1000*L33*'Market Data'!$O$51/('Market Penetration'!L33*'Market Data'!$M$51))</f>
        <v>0</v>
      </c>
      <c r="AI33" s="966">
        <f>IF('Market Penetration'!M33=0,0,1000*M33*'Market Data'!$O$51/('Market Penetration'!M33*'Market Data'!$M$51))</f>
        <v>0</v>
      </c>
      <c r="AJ33" s="484">
        <f>IF('Market Penetration'!N33=0,0,1000*N33*'Market Data'!$Y$51/('Market Penetration'!N33*'Market Data'!$W$51))</f>
        <v>18016.963893958713</v>
      </c>
      <c r="AK33" s="485">
        <f>IF('Market Penetration'!O33=0,0,1000*O33*'Market Data'!$Y$51/('Market Penetration'!O33*'Market Data'!$W$51))</f>
        <v>45059.798476324038</v>
      </c>
      <c r="AL33" s="485">
        <f>IF('Market Penetration'!P33=0,0,1000*P33*'Market Data'!$Y$51/('Market Penetration'!P33*'Market Data'!$W$51))</f>
        <v>40714.554789486996</v>
      </c>
      <c r="AM33" s="797">
        <f>IF('Market Penetration'!Q33=0,0,1000*Q33*'Market Data'!$Y$51/('Market Penetration'!Q33*'Market Data'!$W$51))</f>
        <v>50255.389088352858</v>
      </c>
      <c r="AN33" s="485">
        <f>IF('Market Penetration'!R33=0,0,1000*R33*'Market Data'!$Y$51/('Market Penetration'!R33*'Market Data'!$W$51))</f>
        <v>139134.3812261</v>
      </c>
      <c r="AO33" s="792">
        <f>IF('Market Penetration'!S33=0,0,1000*S33*'Market Data'!$Y$51/('Market Penetration'!S33*'Market Data'!$W$51))</f>
        <v>0</v>
      </c>
      <c r="AP33" s="486">
        <f>IF('Market Penetration'!T33=0,0,1000*T33*('Market Data'!$E$51+'Market Data'!$O$51+'Market Data'!$Y$51)/('Market Penetration'!T33*('Market Data'!$C$51+'Market Data'!$M$51+'Market Data'!$W$51)))</f>
        <v>21113.18603553078</v>
      </c>
      <c r="AQ33" s="487">
        <f>IF('Market Penetration'!U33=0,0,1000*U33*('Market Data'!$E$51+'Market Data'!$O$51+'Market Data'!$Y$51)/('Market Penetration'!U33*('Market Data'!$C$51+'Market Data'!$M$51+'Market Data'!$W$51)))</f>
        <v>100495.73825430048</v>
      </c>
    </row>
    <row r="34" spans="1:43" ht="15" x14ac:dyDescent="0.25">
      <c r="A34" s="421">
        <v>2032</v>
      </c>
      <c r="B34" s="441">
        <f t="shared" si="12"/>
        <v>2.3046292748828412E-2</v>
      </c>
      <c r="C34" s="442">
        <f>'7&amp;8 Sleep'!$M101+'7&amp;8 Sleep'!$Z101</f>
        <v>0.35900638091379689</v>
      </c>
      <c r="D34" s="442">
        <f>'7&amp;8 Sleep'!$M153+'7&amp;8 Sleep'!$Z153</f>
        <v>0.35793622457392354</v>
      </c>
      <c r="E34" s="800">
        <f>'7&amp;8 Sleep'!$M205+'7&amp;8 Sleep'!$Z205</f>
        <v>0.26001110176345121</v>
      </c>
      <c r="F34" s="442">
        <f>'7&amp;8 Sleep'!$M258+'7&amp;8 Sleep'!$Z258</f>
        <v>0</v>
      </c>
      <c r="G34" s="758">
        <f>'7&amp;8 Sleep'!$M311+'7&amp;8 Sleep'!$Z311</f>
        <v>0</v>
      </c>
      <c r="H34" s="959">
        <f t="shared" si="13"/>
        <v>0.17848621952703192</v>
      </c>
      <c r="I34" s="758">
        <f>'7&amp;8 Day'!$M101+'7&amp;8 Day'!$Z101</f>
        <v>0.40922129866121132</v>
      </c>
      <c r="J34" s="758">
        <f>'7&amp;8 Day'!$M153+'7&amp;8 Day'!$Z153</f>
        <v>0.40903793297543822</v>
      </c>
      <c r="K34" s="758">
        <f>'7&amp;8 Day'!$M205+'7&amp;8 Day'!$Z205</f>
        <v>3.2545488363185399E-3</v>
      </c>
      <c r="L34" s="758">
        <f>'7&amp;8 Day'!$M258+'7&amp;8 Day'!$Z258</f>
        <v>0</v>
      </c>
      <c r="M34" s="805">
        <f>'7&amp;8 Day'!$M311+'7&amp;8 Day'!$Z311</f>
        <v>0</v>
      </c>
      <c r="N34" s="441">
        <f t="shared" si="14"/>
        <v>0.41627417261554589</v>
      </c>
      <c r="O34" s="442">
        <f>'7&amp;8 SU'!$M101+'7&amp;8 SU'!$Z101</f>
        <v>0.18445192603885649</v>
      </c>
      <c r="P34" s="442">
        <f>'7&amp;8 SU'!$M153+'7&amp;8 SU'!$Z153</f>
        <v>0.24872013988056021</v>
      </c>
      <c r="Q34" s="800">
        <f>'7&amp;8 SU'!$M205+'7&amp;8 SU'!$Z205</f>
        <v>0.14052370916526874</v>
      </c>
      <c r="R34" s="442">
        <f>'7&amp;8 SU'!$M258+'7&amp;8 SU'!$Z258</f>
        <v>1.0030052299768673E-2</v>
      </c>
      <c r="S34" s="758">
        <f>'7&amp;8 SU'!$M311+'7&amp;8 SU'!$Z311</f>
        <v>0</v>
      </c>
      <c r="T34" s="441">
        <f>B34*'Market Data'!$E$52+H34*'Market Data'!$O$52+N34*+N34*'Market Data'!$Y$52</f>
        <v>7.4119116191122408E-2</v>
      </c>
      <c r="U34" s="443">
        <f>SUM(C34:G34)*'Market Data'!$E$52+SUM(I34:M34)*'Market Data'!$O$52+SUM(O34:S34)*+N34*'Market Data'!$Y$52</f>
        <v>0.87353328131641572</v>
      </c>
      <c r="W34" s="421">
        <v>2032</v>
      </c>
      <c r="X34" s="478">
        <f>IF('Market Penetration'!B34=0,0,1000*B34*'Market Data'!$E$51/('Market Penetration'!B34*'Market Data'!$C$51))</f>
        <v>43577.337902160471</v>
      </c>
      <c r="Y34" s="479">
        <f>IF('Market Penetration'!C34=0,0,1000*C34*'Market Data'!$E$51/('Market Penetration'!C34*'Market Data'!$C$51))</f>
        <v>116129.90458775463</v>
      </c>
      <c r="Z34" s="479">
        <f>IF('Market Penetration'!D34=0,0,1000*D34*'Market Data'!$E$51/('Market Penetration'!D34*'Market Data'!$C$51))</f>
        <v>116607.03003891207</v>
      </c>
      <c r="AA34" s="795">
        <f>IF('Market Penetration'!E34=0,0,1000*E34*'Market Data'!$E$51/('Market Penetration'!E34*'Market Data'!$C$51))</f>
        <v>126233.20844848501</v>
      </c>
      <c r="AB34" s="479">
        <f>IF('Market Penetration'!F34=0,0,1000*F34*'Market Data'!$E$51/('Market Penetration'!F34*'Market Data'!$C$51))</f>
        <v>0</v>
      </c>
      <c r="AC34" s="790">
        <f>IF('Market Penetration'!G34=0,0,1000*G34*'Market Data'!$E$51/('Market Penetration'!G34*'Market Data'!$C$51))</f>
        <v>0</v>
      </c>
      <c r="AD34" s="478">
        <f>IF('Market Penetration'!H34=0,0,1000*H34*'Market Data'!$O$51/('Market Penetration'!H34*'Market Data'!$M$51))</f>
        <v>39740.539048784653</v>
      </c>
      <c r="AE34" s="479">
        <f>IF('Market Penetration'!I34=0,0,1000*I34*'Market Data'!$O$51/('Market Penetration'!I34*'Market Data'!$M$51))</f>
        <v>96457.484744788439</v>
      </c>
      <c r="AF34" s="479">
        <f>IF('Market Penetration'!J34=0,0,1000*J34*'Market Data'!$O$51/('Market Penetration'!J34*'Market Data'!$M$51))</f>
        <v>96457.48474478838</v>
      </c>
      <c r="AG34" s="479">
        <f>IF('Market Penetration'!K34=0,0,1000*K34*'Market Data'!$O$51/('Market Penetration'!K34*'Market Data'!$M$51))</f>
        <v>214383.41559426425</v>
      </c>
      <c r="AH34" s="479">
        <f>IF('Market Penetration'!L34=0,0,1000*L34*'Market Data'!$O$51/('Market Penetration'!L34*'Market Data'!$M$51))</f>
        <v>0</v>
      </c>
      <c r="AI34" s="480">
        <f>IF('Market Penetration'!M34=0,0,1000*M34*'Market Data'!$O$51/('Market Penetration'!M34*'Market Data'!$M$51))</f>
        <v>0</v>
      </c>
      <c r="AJ34" s="478">
        <f>IF('Market Penetration'!N34=0,0,1000*N34*'Market Data'!$Y$51/('Market Penetration'!N34*'Market Data'!$W$51))</f>
        <v>17780.86449127235</v>
      </c>
      <c r="AK34" s="479">
        <f>IF('Market Penetration'!O34=0,0,1000*O34*'Market Data'!$Y$51/('Market Penetration'!O34*'Market Data'!$W$51))</f>
        <v>44624.620136469814</v>
      </c>
      <c r="AL34" s="479">
        <f>IF('Market Penetration'!P34=0,0,1000*P34*'Market Data'!$Y$51/('Market Penetration'!P34*'Market Data'!$W$51))</f>
        <v>40019.129746666462</v>
      </c>
      <c r="AM34" s="795">
        <f>IF('Market Penetration'!Q34=0,0,1000*Q34*'Market Data'!$Y$51/('Market Penetration'!Q34*'Market Data'!$W$51))</f>
        <v>49364.443952616537</v>
      </c>
      <c r="AN34" s="479">
        <f>IF('Market Penetration'!R34=0,0,1000*R34*'Market Data'!$Y$51/('Market Penetration'!R34*'Market Data'!$W$51))</f>
        <v>132056.82395823122</v>
      </c>
      <c r="AO34" s="790">
        <f>IF('Market Penetration'!S34=0,0,1000*S34*'Market Data'!$Y$51/('Market Penetration'!S34*'Market Data'!$W$51))</f>
        <v>0</v>
      </c>
      <c r="AP34" s="478">
        <f>IF('Market Penetration'!T34=0,0,1000*T34*('Market Data'!$E$51+'Market Data'!$O$51+'Market Data'!$Y$51)/('Market Penetration'!T34*('Market Data'!$C$51+'Market Data'!$M$51+'Market Data'!$W$51)))</f>
        <v>20941.11302883759</v>
      </c>
      <c r="AQ34" s="480">
        <f>IF('Market Penetration'!U34=0,0,1000*U34*('Market Data'!$E$51+'Market Data'!$O$51+'Market Data'!$Y$51)/('Market Penetration'!U34*('Market Data'!$C$51+'Market Data'!$M$51+'Market Data'!$W$51)))</f>
        <v>99937.345963132626</v>
      </c>
    </row>
    <row r="35" spans="1:43" ht="15" x14ac:dyDescent="0.25">
      <c r="A35" s="421">
        <v>2033</v>
      </c>
      <c r="B35" s="441">
        <f t="shared" si="12"/>
        <v>2.2680947452636602E-2</v>
      </c>
      <c r="C35" s="442">
        <f>'7&amp;8 Sleep'!$M102+'7&amp;8 Sleep'!$Z102</f>
        <v>0.35748906610939191</v>
      </c>
      <c r="D35" s="442">
        <f>'7&amp;8 Sleep'!$M154+'7&amp;8 Sleep'!$Z154</f>
        <v>0.35683579288134615</v>
      </c>
      <c r="E35" s="800">
        <f>'7&amp;8 Sleep'!$M206+'7&amp;8 Sleep'!$Z206</f>
        <v>0.2629941935566254</v>
      </c>
      <c r="F35" s="442">
        <f>'7&amp;8 Sleep'!$M259+'7&amp;8 Sleep'!$Z259</f>
        <v>0</v>
      </c>
      <c r="G35" s="758">
        <f>'7&amp;8 Sleep'!$M312+'7&amp;8 Sleep'!$Z312</f>
        <v>0</v>
      </c>
      <c r="H35" s="959">
        <f t="shared" si="13"/>
        <v>0.17566912499077392</v>
      </c>
      <c r="I35" s="758">
        <f>'7&amp;8 Day'!$M102+'7&amp;8 Day'!$Z102</f>
        <v>0.40645711572975696</v>
      </c>
      <c r="J35" s="758">
        <f>'7&amp;8 Day'!$M154+'7&amp;8 Day'!$Z154</f>
        <v>0.4062749886312727</v>
      </c>
      <c r="K35" s="758">
        <f>'7&amp;8 Day'!$M206+'7&amp;8 Day'!$Z206</f>
        <v>1.1598770648196522E-2</v>
      </c>
      <c r="L35" s="758">
        <f>'7&amp;8 Day'!$M259+'7&amp;8 Day'!$Z259</f>
        <v>0</v>
      </c>
      <c r="M35" s="805">
        <f>'7&amp;8 Day'!$M312+'7&amp;8 Day'!$Z312</f>
        <v>0</v>
      </c>
      <c r="N35" s="441">
        <f t="shared" si="14"/>
        <v>0.41581077855227444</v>
      </c>
      <c r="O35" s="442">
        <f>'7&amp;8 SU'!$M102+'7&amp;8 SU'!$Z102</f>
        <v>0.18276302446064963</v>
      </c>
      <c r="P35" s="442">
        <f>'7&amp;8 SU'!$M154+'7&amp;8 SU'!$Z154</f>
        <v>0.24711209366395565</v>
      </c>
      <c r="Q35" s="800">
        <f>'7&amp;8 SU'!$M206+'7&amp;8 SU'!$Z206</f>
        <v>0.14099083158805883</v>
      </c>
      <c r="R35" s="442">
        <f>'7&amp;8 SU'!$M259+'7&amp;8 SU'!$Z259</f>
        <v>1.3323271735061442E-2</v>
      </c>
      <c r="S35" s="758">
        <f>'7&amp;8 SU'!$M312+'7&amp;8 SU'!$Z312</f>
        <v>0</v>
      </c>
      <c r="T35" s="441">
        <f>B35*'Market Data'!$E$52+H35*'Market Data'!$O$52+N35*+N35*'Market Data'!$Y$52</f>
        <v>7.3158896616608834E-2</v>
      </c>
      <c r="U35" s="443">
        <f>SUM(C35:G35)*'Market Data'!$E$52+SUM(I35:M35)*'Market Data'!$O$52+SUM(O35:S35)*+N35*'Market Data'!$Y$52</f>
        <v>0.87445194444938878</v>
      </c>
      <c r="W35" s="421">
        <v>2033</v>
      </c>
      <c r="X35" s="478">
        <f>IF('Market Penetration'!B35=0,0,1000*B35*'Market Data'!$E$51/('Market Penetration'!B35*'Market Data'!$C$51))</f>
        <v>43492.193203624956</v>
      </c>
      <c r="Y35" s="479">
        <f>IF('Market Penetration'!C35=0,0,1000*C35*'Market Data'!$E$51/('Market Penetration'!C35*'Market Data'!$C$51))</f>
        <v>116015.34787902626</v>
      </c>
      <c r="Z35" s="479">
        <f>IF('Market Penetration'!D35=0,0,1000*D35*'Market Data'!$E$51/('Market Penetration'!D35*'Market Data'!$C$51))</f>
        <v>116539.75388836346</v>
      </c>
      <c r="AA35" s="795">
        <f>IF('Market Penetration'!E35=0,0,1000*E35*'Market Data'!$E$51/('Market Penetration'!E35*'Market Data'!$C$51))</f>
        <v>126146.63314700933</v>
      </c>
      <c r="AB35" s="479">
        <f>IF('Market Penetration'!F35=0,0,1000*F35*'Market Data'!$E$51/('Market Penetration'!F35*'Market Data'!$C$51))</f>
        <v>0</v>
      </c>
      <c r="AC35" s="790">
        <f>IF('Market Penetration'!G35=0,0,1000*G35*'Market Data'!$E$51/('Market Penetration'!G35*'Market Data'!$C$51))</f>
        <v>0</v>
      </c>
      <c r="AD35" s="478">
        <f>IF('Market Penetration'!H35=0,0,1000*H35*'Market Data'!$O$51/('Market Penetration'!H35*'Market Data'!$M$51))</f>
        <v>39479.841651545546</v>
      </c>
      <c r="AE35" s="479">
        <f>IF('Market Penetration'!I35=0,0,1000*I35*'Market Data'!$O$51/('Market Penetration'!I35*'Market Data'!$M$51))</f>
        <v>95829.386237882922</v>
      </c>
      <c r="AF35" s="479">
        <f>IF('Market Penetration'!J35=0,0,1000*J35*'Market Data'!$O$51/('Market Penetration'!J35*'Market Data'!$M$51))</f>
        <v>95829.386237882907</v>
      </c>
      <c r="AG35" s="479">
        <f>IF('Market Penetration'!K35=0,0,1000*K35*'Market Data'!$O$51/('Market Penetration'!K35*'Market Data'!$M$51))</f>
        <v>196741.19511613701</v>
      </c>
      <c r="AH35" s="479">
        <f>IF('Market Penetration'!L35=0,0,1000*L35*'Market Data'!$O$51/('Market Penetration'!L35*'Market Data'!$M$51))</f>
        <v>0</v>
      </c>
      <c r="AI35" s="480">
        <f>IF('Market Penetration'!M35=0,0,1000*M35*'Market Data'!$O$51/('Market Penetration'!M35*'Market Data'!$M$51))</f>
        <v>0</v>
      </c>
      <c r="AJ35" s="478">
        <f>IF('Market Penetration'!N35=0,0,1000*N35*'Market Data'!$Y$51/('Market Penetration'!N35*'Market Data'!$W$51))</f>
        <v>17775.027997616864</v>
      </c>
      <c r="AK35" s="479">
        <f>IF('Market Penetration'!O35=0,0,1000*O35*'Market Data'!$Y$51/('Market Penetration'!O35*'Market Data'!$W$51))</f>
        <v>44428.872052422688</v>
      </c>
      <c r="AL35" s="479">
        <f>IF('Market Penetration'!P35=0,0,1000*P35*'Market Data'!$Y$51/('Market Penetration'!P35*'Market Data'!$W$51))</f>
        <v>39818.331143451353</v>
      </c>
      <c r="AM35" s="795">
        <f>IF('Market Penetration'!Q35=0,0,1000*Q35*'Market Data'!$Y$51/('Market Penetration'!Q35*'Market Data'!$W$51))</f>
        <v>49268.884997054382</v>
      </c>
      <c r="AN35" s="479">
        <f>IF('Market Penetration'!R35=0,0,1000*R35*'Market Data'!$Y$51/('Market Penetration'!R35*'Market Data'!$W$51))</f>
        <v>123160.30176722485</v>
      </c>
      <c r="AO35" s="790">
        <f>IF('Market Penetration'!S35=0,0,1000*S35*'Market Data'!$Y$51/('Market Penetration'!S35*'Market Data'!$W$51))</f>
        <v>0</v>
      </c>
      <c r="AP35" s="478">
        <f>IF('Market Penetration'!T35=0,0,1000*T35*('Market Data'!$E$51+'Market Data'!$O$51+'Market Data'!$Y$51)/('Market Penetration'!T35*('Market Data'!$C$51+'Market Data'!$M$51+'Market Data'!$W$51)))</f>
        <v>20767.559507768783</v>
      </c>
      <c r="AQ35" s="480">
        <f>IF('Market Penetration'!U35=0,0,1000*U35*('Market Data'!$E$51+'Market Data'!$O$51+'Market Data'!$Y$51)/('Market Penetration'!U35*('Market Data'!$C$51+'Market Data'!$M$51+'Market Data'!$W$51)))</f>
        <v>99852.152486377818</v>
      </c>
    </row>
    <row r="36" spans="1:43" ht="15" x14ac:dyDescent="0.25">
      <c r="A36" s="421">
        <v>2034</v>
      </c>
      <c r="B36" s="441">
        <f t="shared" si="12"/>
        <v>2.2217909393413393E-2</v>
      </c>
      <c r="C36" s="442">
        <f>'7&amp;8 Sleep'!$M103+'7&amp;8 Sleep'!$Z103</f>
        <v>0.35621148460459251</v>
      </c>
      <c r="D36" s="442">
        <f>'7&amp;8 Sleep'!$M155+'7&amp;8 Sleep'!$Z155</f>
        <v>0.35557607389685175</v>
      </c>
      <c r="E36" s="800">
        <f>'7&amp;8 Sleep'!$M207+'7&amp;8 Sleep'!$Z207</f>
        <v>0.26599453210514229</v>
      </c>
      <c r="F36" s="442">
        <f>'7&amp;8 Sleep'!$M260+'7&amp;8 Sleep'!$Z260</f>
        <v>0</v>
      </c>
      <c r="G36" s="758">
        <f>'7&amp;8 Sleep'!$M313+'7&amp;8 Sleep'!$Z313</f>
        <v>0</v>
      </c>
      <c r="H36" s="959">
        <f t="shared" si="13"/>
        <v>0.17560482196216565</v>
      </c>
      <c r="I36" s="758">
        <f>'7&amp;8 Day'!$M103+'7&amp;8 Day'!$Z103</f>
        <v>0.39827647983639713</v>
      </c>
      <c r="J36" s="758">
        <f>'7&amp;8 Day'!$M155+'7&amp;8 Day'!$Z155</f>
        <v>0.39809801835335268</v>
      </c>
      <c r="K36" s="758">
        <f>'7&amp;8 Day'!$M207+'7&amp;8 Day'!$Z207</f>
        <v>2.8020679848084505E-2</v>
      </c>
      <c r="L36" s="758">
        <f>'7&amp;8 Day'!$M260+'7&amp;8 Day'!$Z260</f>
        <v>0</v>
      </c>
      <c r="M36" s="805">
        <f>'7&amp;8 Day'!$M313+'7&amp;8 Day'!$Z313</f>
        <v>0</v>
      </c>
      <c r="N36" s="441">
        <f t="shared" si="14"/>
        <v>0.41568691486421738</v>
      </c>
      <c r="O36" s="442">
        <f>'7&amp;8 SU'!$M103+'7&amp;8 SU'!$Z103</f>
        <v>0.18156861289683562</v>
      </c>
      <c r="P36" s="442">
        <f>'7&amp;8 SU'!$M155+'7&amp;8 SU'!$Z155</f>
        <v>0.24591190740803776</v>
      </c>
      <c r="Q36" s="800">
        <f>'7&amp;8 SU'!$M207+'7&amp;8 SU'!$Z207</f>
        <v>0.13961826618826895</v>
      </c>
      <c r="R36" s="442">
        <f>'7&amp;8 SU'!$M260+'7&amp;8 SU'!$Z260</f>
        <v>1.7214298642640395E-2</v>
      </c>
      <c r="S36" s="758">
        <f>'7&amp;8 SU'!$M313+'7&amp;8 SU'!$Z313</f>
        <v>0</v>
      </c>
      <c r="T36" s="441">
        <f>B36*'Market Data'!$E$52+H36*'Market Data'!$O$52+N36*+N36*'Market Data'!$Y$52</f>
        <v>7.2824597832841773E-2</v>
      </c>
      <c r="U36" s="443">
        <f>SUM(C36:G36)*'Market Data'!$E$52+SUM(I36:M36)*'Market Data'!$O$52+SUM(O36:S36)*+N36*'Market Data'!$Y$52</f>
        <v>0.87477513533488993</v>
      </c>
      <c r="W36" s="421">
        <v>2034</v>
      </c>
      <c r="X36" s="478">
        <f>IF('Market Penetration'!B36=0,0,1000*B36*'Market Data'!$E$51/('Market Penetration'!B36*'Market Data'!$C$51))</f>
        <v>43298.679867662671</v>
      </c>
      <c r="Y36" s="479">
        <f>IF('Market Penetration'!C36=0,0,1000*C36*'Market Data'!$E$51/('Market Penetration'!C36*'Market Data'!$C$51))</f>
        <v>116024.15063511758</v>
      </c>
      <c r="Z36" s="479">
        <f>IF('Market Penetration'!D36=0,0,1000*D36*'Market Data'!$E$51/('Market Penetration'!D36*'Market Data'!$C$51))</f>
        <v>116591.99410266361</v>
      </c>
      <c r="AA36" s="795">
        <f>IF('Market Penetration'!E36=0,0,1000*E36*'Market Data'!$E$51/('Market Penetration'!E36*'Market Data'!$C$51))</f>
        <v>125669.82432469926</v>
      </c>
      <c r="AB36" s="479">
        <f>IF('Market Penetration'!F36=0,0,1000*F36*'Market Data'!$E$51/('Market Penetration'!F36*'Market Data'!$C$51))</f>
        <v>0</v>
      </c>
      <c r="AC36" s="790">
        <f>IF('Market Penetration'!G36=0,0,1000*G36*'Market Data'!$E$51/('Market Penetration'!G36*'Market Data'!$C$51))</f>
        <v>0</v>
      </c>
      <c r="AD36" s="478">
        <f>IF('Market Penetration'!H36=0,0,1000*H36*'Market Data'!$O$51/('Market Penetration'!H36*'Market Data'!$M$51))</f>
        <v>39471.299671386834</v>
      </c>
      <c r="AE36" s="479">
        <f>IF('Market Penetration'!I36=0,0,1000*I36*'Market Data'!$O$51/('Market Penetration'!I36*'Market Data'!$M$51))</f>
        <v>95034.721109858554</v>
      </c>
      <c r="AF36" s="479">
        <f>IF('Market Penetration'!J36=0,0,1000*J36*'Market Data'!$O$51/('Market Penetration'!J36*'Market Data'!$M$51))</f>
        <v>95034.721109858554</v>
      </c>
      <c r="AG36" s="479">
        <f>IF('Market Penetration'!K36=0,0,1000*K36*'Market Data'!$O$51/('Market Penetration'!K36*'Market Data'!$M$51))</f>
        <v>174229.76807434778</v>
      </c>
      <c r="AH36" s="479">
        <f>IF('Market Penetration'!L36=0,0,1000*L36*'Market Data'!$O$51/('Market Penetration'!L36*'Market Data'!$M$51))</f>
        <v>0</v>
      </c>
      <c r="AI36" s="480">
        <f>IF('Market Penetration'!M36=0,0,1000*M36*'Market Data'!$O$51/('Market Penetration'!M36*'Market Data'!$M$51))</f>
        <v>0</v>
      </c>
      <c r="AJ36" s="478">
        <f>IF('Market Penetration'!N36=0,0,1000*N36*'Market Data'!$Y$51/('Market Penetration'!N36*'Market Data'!$W$51))</f>
        <v>17771.873733683882</v>
      </c>
      <c r="AK36" s="479">
        <f>IF('Market Penetration'!O36=0,0,1000*O36*'Market Data'!$Y$51/('Market Penetration'!O36*'Market Data'!$W$51))</f>
        <v>44266.030736654677</v>
      </c>
      <c r="AL36" s="479">
        <f>IF('Market Penetration'!P36=0,0,1000*P36*'Market Data'!$Y$51/('Market Penetration'!P36*'Market Data'!$W$51))</f>
        <v>39697.375230420621</v>
      </c>
      <c r="AM36" s="795">
        <f>IF('Market Penetration'!Q36=0,0,1000*Q36*'Market Data'!$Y$51/('Market Penetration'!Q36*'Market Data'!$W$51))</f>
        <v>49068.304888914281</v>
      </c>
      <c r="AN36" s="479">
        <f>IF('Market Penetration'!R36=0,0,1000*R36*'Market Data'!$Y$51/('Market Penetration'!R36*'Market Data'!$W$51))</f>
        <v>114422.80581314054</v>
      </c>
      <c r="AO36" s="790">
        <f>IF('Market Penetration'!S36=0,0,1000*S36*'Market Data'!$Y$51/('Market Penetration'!S36*'Market Data'!$W$51))</f>
        <v>0</v>
      </c>
      <c r="AP36" s="478">
        <f>IF('Market Penetration'!T36=0,0,1000*T36*('Market Data'!$E$51+'Market Data'!$O$51+'Market Data'!$Y$51)/('Market Penetration'!T36*('Market Data'!$C$51+'Market Data'!$M$51+'Market Data'!$W$51)))</f>
        <v>20707.95679360237</v>
      </c>
      <c r="AQ36" s="480">
        <f>IF('Market Penetration'!U36=0,0,1000*U36*('Market Data'!$E$51+'Market Data'!$O$51+'Market Data'!$Y$51)/('Market Penetration'!U36*('Market Data'!$C$51+'Market Data'!$M$51+'Market Data'!$W$51)))</f>
        <v>99820.619887484165</v>
      </c>
    </row>
    <row r="37" spans="1:43" ht="15" x14ac:dyDescent="0.25">
      <c r="A37" s="420">
        <v>2035</v>
      </c>
      <c r="B37" s="444">
        <f t="shared" si="12"/>
        <v>1.9942156445476922E-2</v>
      </c>
      <c r="C37" s="445">
        <f>'7&amp;8 Sleep'!$M104+'7&amp;8 Sleep'!$Z104</f>
        <v>0.35712459738436131</v>
      </c>
      <c r="D37" s="445">
        <f>'7&amp;8 Sleep'!$M156+'7&amp;8 Sleep'!$Z156</f>
        <v>0.35562988634477566</v>
      </c>
      <c r="E37" s="801">
        <f>'7&amp;8 Sleep'!$M208+'7&amp;8 Sleep'!$Z208</f>
        <v>0.26730335982538606</v>
      </c>
      <c r="F37" s="445">
        <f>'7&amp;8 Sleep'!$M261+'7&amp;8 Sleep'!$Z261</f>
        <v>0</v>
      </c>
      <c r="G37" s="759">
        <f>'7&amp;8 Sleep'!$M314+'7&amp;8 Sleep'!$Z314</f>
        <v>0</v>
      </c>
      <c r="H37" s="960">
        <f t="shared" si="13"/>
        <v>0.16854525056595671</v>
      </c>
      <c r="I37" s="759">
        <f>'7&amp;8 Day'!$M104+'7&amp;8 Day'!$Z104</f>
        <v>0.3880283529983547</v>
      </c>
      <c r="J37" s="759">
        <f>'7&amp;8 Day'!$M156+'7&amp;8 Day'!$Z156</f>
        <v>0.38625287777620554</v>
      </c>
      <c r="K37" s="759">
        <f>'7&amp;8 Day'!$M208+'7&amp;8 Day'!$Z208</f>
        <v>5.7173518659483009E-2</v>
      </c>
      <c r="L37" s="759">
        <f>'7&amp;8 Day'!$M261+'7&amp;8 Day'!$Z261</f>
        <v>0</v>
      </c>
      <c r="M37" s="806">
        <f>'7&amp;8 Day'!$M314+'7&amp;8 Day'!$Z314</f>
        <v>0</v>
      </c>
      <c r="N37" s="444">
        <f t="shared" si="14"/>
        <v>0.41564133474321419</v>
      </c>
      <c r="O37" s="445">
        <f>'7&amp;8 SU'!$M104+'7&amp;8 SU'!$Z104</f>
        <v>0.18028855567034402</v>
      </c>
      <c r="P37" s="445">
        <f>'7&amp;8 SU'!$M156+'7&amp;8 SU'!$Z156</f>
        <v>0.24304592883686488</v>
      </c>
      <c r="Q37" s="801">
        <f>'7&amp;8 SU'!$M208+'7&amp;8 SU'!$Z208</f>
        <v>0.13851428752388323</v>
      </c>
      <c r="R37" s="445">
        <f>'7&amp;8 SU'!$M261+'7&amp;8 SU'!$Z261</f>
        <v>2.24926717894499E-2</v>
      </c>
      <c r="S37" s="759">
        <f>'7&amp;8 SU'!$M314+'7&amp;8 SU'!$Z314</f>
        <v>1.7221436243822235E-5</v>
      </c>
      <c r="T37" s="444">
        <f>B37*'Market Data'!$E$52+H37*'Market Data'!$O$52+N37*+N37*'Market Data'!$Y$52</f>
        <v>6.9592363624286641E-2</v>
      </c>
      <c r="U37" s="446">
        <f>SUM(C37:G37)*'Market Data'!$E$52+SUM(I37:M37)*'Market Data'!$O$52+SUM(O37:S37)*+N37*'Market Data'!$Y$52</f>
        <v>0.87800328199078947</v>
      </c>
      <c r="W37" s="420">
        <v>2035</v>
      </c>
      <c r="X37" s="481">
        <f>IF('Market Penetration'!B37=0,0,1000*B37*'Market Data'!$E$51/('Market Penetration'!B37*'Market Data'!$C$51))</f>
        <v>40787.541649286322</v>
      </c>
      <c r="Y37" s="482">
        <f>IF('Market Penetration'!C37=0,0,1000*C37*'Market Data'!$E$51/('Market Penetration'!C37*'Market Data'!$C$51))</f>
        <v>115961.67415108354</v>
      </c>
      <c r="Z37" s="482">
        <f>IF('Market Penetration'!D37=0,0,1000*D37*'Market Data'!$E$51/('Market Penetration'!D37*'Market Data'!$C$51))</f>
        <v>116599.59053382326</v>
      </c>
      <c r="AA37" s="796">
        <f>IF('Market Penetration'!E37=0,0,1000*E37*'Market Data'!$E$51/('Market Penetration'!E37*'Market Data'!$C$51))</f>
        <v>125434.07429106077</v>
      </c>
      <c r="AB37" s="482">
        <f>IF('Market Penetration'!F37=0,0,1000*F37*'Market Data'!$E$51/('Market Penetration'!F37*'Market Data'!$C$51))</f>
        <v>0</v>
      </c>
      <c r="AC37" s="791">
        <f>IF('Market Penetration'!G37=0,0,1000*G37*'Market Data'!$E$51/('Market Penetration'!G37*'Market Data'!$C$51))</f>
        <v>0</v>
      </c>
      <c r="AD37" s="481">
        <f>IF('Market Penetration'!H37=0,0,1000*H37*'Market Data'!$O$51/('Market Penetration'!H37*'Market Data'!$M$51))</f>
        <v>38933.896262695984</v>
      </c>
      <c r="AE37" s="482">
        <f>IF('Market Penetration'!I37=0,0,1000*I37*'Market Data'!$O$51/('Market Penetration'!I37*'Market Data'!$M$51))</f>
        <v>93281.034432236673</v>
      </c>
      <c r="AF37" s="482">
        <f>IF('Market Penetration'!J37=0,0,1000*J37*'Market Data'!$O$51/('Market Penetration'!J37*'Market Data'!$M$51))</f>
        <v>93517.526663727796</v>
      </c>
      <c r="AG37" s="482">
        <f>IF('Market Penetration'!K37=0,0,1000*K37*'Market Data'!$O$51/('Market Penetration'!K37*'Market Data'!$M$51))</f>
        <v>154307.7277285443</v>
      </c>
      <c r="AH37" s="482">
        <f>IF('Market Penetration'!L37=0,0,1000*L37*'Market Data'!$O$51/('Market Penetration'!L37*'Market Data'!$M$51))</f>
        <v>0</v>
      </c>
      <c r="AI37" s="483">
        <f>IF('Market Penetration'!M37=0,0,1000*M37*'Market Data'!$O$51/('Market Penetration'!M37*'Market Data'!$M$51))</f>
        <v>0</v>
      </c>
      <c r="AJ37" s="481">
        <f>IF('Market Penetration'!N37=0,0,1000*N37*'Market Data'!$Y$51/('Market Penetration'!N37*'Market Data'!$W$51))</f>
        <v>17770.712816969746</v>
      </c>
      <c r="AK37" s="482">
        <f>IF('Market Penetration'!O37=0,0,1000*O37*'Market Data'!$Y$51/('Market Penetration'!O37*'Market Data'!$W$51))</f>
        <v>44123.459720317216</v>
      </c>
      <c r="AL37" s="482">
        <f>IF('Market Penetration'!P37=0,0,1000*P37*'Market Data'!$Y$51/('Market Penetration'!P37*'Market Data'!$W$51))</f>
        <v>39568.059876324638</v>
      </c>
      <c r="AM37" s="796">
        <f>IF('Market Penetration'!Q37=0,0,1000*Q37*'Market Data'!$Y$51/('Market Penetration'!Q37*'Market Data'!$W$51))</f>
        <v>48577.667359701882</v>
      </c>
      <c r="AN37" s="482">
        <f>IF('Market Penetration'!R37=0,0,1000*R37*'Market Data'!$Y$51/('Market Penetration'!R37*'Market Data'!$W$51))</f>
        <v>105514.10982489436</v>
      </c>
      <c r="AO37" s="791">
        <f>IF('Market Penetration'!S37=0,0,1000*S37*'Market Data'!$Y$51/('Market Penetration'!S37*'Market Data'!$W$51))</f>
        <v>71616.08895539795</v>
      </c>
      <c r="AP37" s="481">
        <f>IF('Market Penetration'!T37=0,0,1000*T37*('Market Data'!$E$51+'Market Data'!$O$51+'Market Data'!$Y$51)/('Market Penetration'!T37*('Market Data'!$C$51+'Market Data'!$M$51+'Market Data'!$W$51)))</f>
        <v>20046.960465172688</v>
      </c>
      <c r="AQ37" s="483">
        <f>IF('Market Penetration'!U37=0,0,1000*U37*('Market Data'!$E$51+'Market Data'!$O$51+'Market Data'!$Y$51)/('Market Penetration'!U37*('Market Data'!$C$51+'Market Data'!$M$51+'Market Data'!$W$51)))</f>
        <v>99674.004920611056</v>
      </c>
    </row>
    <row r="38" spans="1:43" ht="15" x14ac:dyDescent="0.25">
      <c r="A38" s="447">
        <v>2036</v>
      </c>
      <c r="B38" s="448">
        <f t="shared" si="12"/>
        <v>1.9395435142456674E-2</v>
      </c>
      <c r="C38" s="449">
        <f>'7&amp;8 Sleep'!$M105+'7&amp;8 Sleep'!$Z105</f>
        <v>0.35613172866153586</v>
      </c>
      <c r="D38" s="449">
        <f>'7&amp;8 Sleep'!$M157+'7&amp;8 Sleep'!$Z157</f>
        <v>0.35459182711018727</v>
      </c>
      <c r="E38" s="802">
        <f>'7&amp;8 Sleep'!$M209+'7&amp;8 Sleep'!$Z209</f>
        <v>0.26985499756283809</v>
      </c>
      <c r="F38" s="449">
        <f>'7&amp;8 Sleep'!$M262+'7&amp;8 Sleep'!$Z262</f>
        <v>2.6011522982131297E-5</v>
      </c>
      <c r="G38" s="760">
        <f>'7&amp;8 Sleep'!$M315+'7&amp;8 Sleep'!$Z315</f>
        <v>0</v>
      </c>
      <c r="H38" s="961">
        <f t="shared" si="13"/>
        <v>0.16663120539163501</v>
      </c>
      <c r="I38" s="760">
        <f>'7&amp;8 Day'!$M105+'7&amp;8 Day'!$Z105</f>
        <v>0.38225318369245154</v>
      </c>
      <c r="J38" s="760">
        <f>'7&amp;8 Day'!$M157+'7&amp;8 Day'!$Z157</f>
        <v>0.3820819019986687</v>
      </c>
      <c r="K38" s="760">
        <f>'7&amp;8 Day'!$M209+'7&amp;8 Day'!$Z209</f>
        <v>6.9032851183887148E-2</v>
      </c>
      <c r="L38" s="760">
        <f>'7&amp;8 Day'!$M262+'7&amp;8 Day'!$Z262</f>
        <v>0</v>
      </c>
      <c r="M38" s="807">
        <f>'7&amp;8 Day'!$M315+'7&amp;8 Day'!$Z315</f>
        <v>8.577333576761621E-7</v>
      </c>
      <c r="N38" s="448">
        <f t="shared" si="14"/>
        <v>0.4145199203720592</v>
      </c>
      <c r="O38" s="449">
        <f>'7&amp;8 SU'!$M105+'7&amp;8 SU'!$Z105</f>
        <v>0.18492165049010936</v>
      </c>
      <c r="P38" s="449">
        <f>'7&amp;8 SU'!$M157+'7&amp;8 SU'!$Z157</f>
        <v>0.24163477540261191</v>
      </c>
      <c r="Q38" s="802">
        <f>'7&amp;8 SU'!$M209+'7&amp;8 SU'!$Z209</f>
        <v>0.13434986484987727</v>
      </c>
      <c r="R38" s="449">
        <f>'7&amp;8 SU'!$M262+'7&amp;8 SU'!$Z262</f>
        <v>2.4491622396785366E-2</v>
      </c>
      <c r="S38" s="760">
        <f>'7&amp;8 SU'!$M315+'7&amp;8 SU'!$Z315</f>
        <v>8.2166488556902805E-5</v>
      </c>
      <c r="T38" s="451">
        <f>B38*'Market Data'!$E$52+H38*'Market Data'!$O$52+N38*+N38*'Market Data'!$Y$52</f>
        <v>6.8680439699084855E-2</v>
      </c>
      <c r="U38" s="452">
        <f>SUM(C38:G38)*'Market Data'!$E$52+SUM(I38:M38)*'Market Data'!$O$52+SUM(O38:S38)*+N38*'Market Data'!$Y$52</f>
        <v>0.8788146392612769</v>
      </c>
      <c r="W38" s="447">
        <v>2036</v>
      </c>
      <c r="X38" s="484">
        <f>IF('Market Penetration'!B38=0,0,1000*B38*'Market Data'!$E$51/('Market Penetration'!B38*'Market Data'!$C$51))</f>
        <v>40159.635672449709</v>
      </c>
      <c r="Y38" s="485">
        <f>IF('Market Penetration'!C38=0,0,1000*C38*'Market Data'!$E$51/('Market Penetration'!C38*'Market Data'!$C$51))</f>
        <v>115974.61530636386</v>
      </c>
      <c r="Z38" s="485">
        <f>IF('Market Penetration'!D38=0,0,1000*D38*'Market Data'!$E$51/('Market Penetration'!D38*'Market Data'!$C$51))</f>
        <v>116503.10714106545</v>
      </c>
      <c r="AA38" s="797">
        <f>IF('Market Penetration'!E38=0,0,1000*E38*'Market Data'!$E$51/('Market Penetration'!E38*'Market Data'!$C$51))</f>
        <v>125387.4404852141</v>
      </c>
      <c r="AB38" s="485">
        <f>IF('Market Penetration'!F38=0,0,1000*F38*'Market Data'!$E$51/('Market Penetration'!F38*'Market Data'!$C$51))</f>
        <v>225052.88322650015</v>
      </c>
      <c r="AC38" s="792">
        <f>IF('Market Penetration'!G38=0,0,1000*G38*'Market Data'!$E$51/('Market Penetration'!G38*'Market Data'!$C$51))</f>
        <v>0</v>
      </c>
      <c r="AD38" s="484">
        <f>IF('Market Penetration'!H38=0,0,1000*H38*'Market Data'!$O$51/('Market Penetration'!H38*'Market Data'!$M$51))</f>
        <v>38887.370143293316</v>
      </c>
      <c r="AE38" s="485">
        <f>IF('Market Penetration'!I38=0,0,1000*I38*'Market Data'!$O$51/('Market Penetration'!I38*'Market Data'!$M$51))</f>
        <v>92760.861989135243</v>
      </c>
      <c r="AF38" s="485">
        <f>IF('Market Penetration'!J38=0,0,1000*J38*'Market Data'!$O$51/('Market Penetration'!J38*'Market Data'!$M$51))</f>
        <v>92760.861989135214</v>
      </c>
      <c r="AG38" s="485">
        <f>IF('Market Penetration'!K38=0,0,1000*K38*'Market Data'!$O$51/('Market Penetration'!K38*'Market Data'!$M$51))</f>
        <v>148535.23851830629</v>
      </c>
      <c r="AH38" s="485">
        <f>IF('Market Penetration'!L38=0,0,1000*L38*'Market Data'!$O$51/('Market Penetration'!L38*'Market Data'!$M$51))</f>
        <v>0</v>
      </c>
      <c r="AI38" s="966">
        <f>IF('Market Penetration'!M38=0,0,1000*M38*'Market Data'!$O$51/('Market Penetration'!M38*'Market Data'!$M$51))</f>
        <v>162880.43816966491</v>
      </c>
      <c r="AJ38" s="484">
        <f>IF('Market Penetration'!N38=0,0,1000*N38*'Market Data'!$Y$51/('Market Penetration'!N38*'Market Data'!$W$51))</f>
        <v>17742.505577216842</v>
      </c>
      <c r="AK38" s="485">
        <f>IF('Market Penetration'!O38=0,0,1000*O38*'Market Data'!$Y$51/('Market Penetration'!O38*'Market Data'!$W$51))</f>
        <v>43604.98987093944</v>
      </c>
      <c r="AL38" s="485">
        <f>IF('Market Penetration'!P38=0,0,1000*P38*'Market Data'!$Y$51/('Market Penetration'!P38*'Market Data'!$W$51))</f>
        <v>39675.086428262817</v>
      </c>
      <c r="AM38" s="797">
        <f>IF('Market Penetration'!Q38=0,0,1000*Q38*'Market Data'!$Y$51/('Market Penetration'!Q38*'Market Data'!$W$51))</f>
        <v>48895.892425083424</v>
      </c>
      <c r="AN38" s="485">
        <f>IF('Market Penetration'!R38=0,0,1000*R38*'Market Data'!$Y$51/('Market Penetration'!R38*'Market Data'!$W$51))</f>
        <v>102340.2814472733</v>
      </c>
      <c r="AO38" s="792">
        <f>IF('Market Penetration'!S38=0,0,1000*S38*'Market Data'!$Y$51/('Market Penetration'!S38*'Market Data'!$W$51))</f>
        <v>71616.08895539795</v>
      </c>
      <c r="AP38" s="486">
        <f>IF('Market Penetration'!T38=0,0,1000*T38*('Market Data'!$E$51+'Market Data'!$O$51+'Market Data'!$Y$51)/('Market Penetration'!T38*('Market Data'!$C$51+'Market Data'!$M$51+'Market Data'!$W$51)))</f>
        <v>19881.496343381623</v>
      </c>
      <c r="AQ38" s="487">
        <f>IF('Market Penetration'!U38=0,0,1000*U38*('Market Data'!$E$51+'Market Data'!$O$51+'Market Data'!$Y$51)/('Market Penetration'!U38*('Market Data'!$C$51+'Market Data'!$M$51+'Market Data'!$W$51)))</f>
        <v>99574.209074388389</v>
      </c>
    </row>
    <row r="39" spans="1:43" ht="15" x14ac:dyDescent="0.25">
      <c r="A39" s="421">
        <v>2037</v>
      </c>
      <c r="B39" s="441">
        <f t="shared" si="12"/>
        <v>1.9391626597718759E-2</v>
      </c>
      <c r="C39" s="442">
        <f>'7&amp;8 Sleep'!$M106+'7&amp;8 Sleep'!$Z106</f>
        <v>0.35621784528841477</v>
      </c>
      <c r="D39" s="442">
        <f>'7&amp;8 Sleep'!$M158+'7&amp;8 Sleep'!$Z158</f>
        <v>0.35467762605750325</v>
      </c>
      <c r="E39" s="800">
        <f>'7&amp;8 Sleep'!$M210+'7&amp;8 Sleep'!$Z210</f>
        <v>0.26962919652649342</v>
      </c>
      <c r="F39" s="442">
        <f>'7&amp;8 Sleep'!$M263+'7&amp;8 Sleep'!$Z263</f>
        <v>8.3655124543696859E-5</v>
      </c>
      <c r="G39" s="758">
        <f>'7&amp;8 Sleep'!$M316+'7&amp;8 Sleep'!$Z316</f>
        <v>5.0405326134530919E-8</v>
      </c>
      <c r="H39" s="959">
        <f t="shared" si="13"/>
        <v>0.1666279686921015</v>
      </c>
      <c r="I39" s="758">
        <f>'7&amp;8 Day'!$M106+'7&amp;8 Day'!$Z106</f>
        <v>0.37713980798543767</v>
      </c>
      <c r="J39" s="758">
        <f>'7&amp;8 Day'!$M158+'7&amp;8 Day'!$Z158</f>
        <v>0.37697081751561168</v>
      </c>
      <c r="K39" s="758">
        <f>'7&amp;8 Day'!$M210+'7&amp;8 Day'!$Z210</f>
        <v>7.3899241176621874E-2</v>
      </c>
      <c r="L39" s="758">
        <f>'7&amp;8 Day'!$M263+'7&amp;8 Day'!$Z263</f>
        <v>0</v>
      </c>
      <c r="M39" s="805">
        <f>'7&amp;8 Day'!$M316+'7&amp;8 Day'!$Z316</f>
        <v>5.3621646302273278E-3</v>
      </c>
      <c r="N39" s="441">
        <f t="shared" si="14"/>
        <v>0.41451373921086687</v>
      </c>
      <c r="O39" s="442">
        <f>'7&amp;8 SU'!$M106+'7&amp;8 SU'!$Z106</f>
        <v>0.18349576337418222</v>
      </c>
      <c r="P39" s="442">
        <f>'7&amp;8 SU'!$M158+'7&amp;8 SU'!$Z158</f>
        <v>0.24260188034627606</v>
      </c>
      <c r="Q39" s="800">
        <f>'7&amp;8 SU'!$M210+'7&amp;8 SU'!$Z210</f>
        <v>0.13458475907146628</v>
      </c>
      <c r="R39" s="442">
        <f>'7&amp;8 SU'!$M263+'7&amp;8 SU'!$Z263</f>
        <v>2.4681485640781389E-2</v>
      </c>
      <c r="S39" s="758">
        <f>'7&amp;8 SU'!$M316+'7&amp;8 SU'!$Z316</f>
        <v>1.2237235642713934E-4</v>
      </c>
      <c r="T39" s="441">
        <f>B39*'Market Data'!$E$52+H39*'Market Data'!$O$52+N39*+N39*'Market Data'!$Y$52</f>
        <v>6.8676651476355738E-2</v>
      </c>
      <c r="U39" s="443">
        <f>SUM(C39:G39)*'Market Data'!$E$52+SUM(I39:M39)*'Market Data'!$O$52+SUM(O39:S39)*+N39*'Market Data'!$Y$52</f>
        <v>0.87881787316731497</v>
      </c>
      <c r="W39" s="421">
        <v>2037</v>
      </c>
      <c r="X39" s="478">
        <f>IF('Market Penetration'!B39=0,0,1000*B39*'Market Data'!$E$51/('Market Penetration'!B39*'Market Data'!$C$51))</f>
        <v>40154.419247440288</v>
      </c>
      <c r="Y39" s="479">
        <f>IF('Market Penetration'!C39=0,0,1000*C39*'Market Data'!$E$51/('Market Penetration'!C39*'Market Data'!$C$51))</f>
        <v>115973.67303090361</v>
      </c>
      <c r="Z39" s="479">
        <f>IF('Market Penetration'!D39=0,0,1000*D39*'Market Data'!$E$51/('Market Penetration'!D39*'Market Data'!$C$51))</f>
        <v>116502.05150326103</v>
      </c>
      <c r="AA39" s="795">
        <f>IF('Market Penetration'!E39=0,0,1000*E39*'Market Data'!$E$51/('Market Penetration'!E39*'Market Data'!$C$51))</f>
        <v>125384.78293729153</v>
      </c>
      <c r="AB39" s="479">
        <f>IF('Market Penetration'!F39=0,0,1000*F39*'Market Data'!$E$51/('Market Penetration'!F39*'Market Data'!$C$51))</f>
        <v>225383.73449948063</v>
      </c>
      <c r="AC39" s="790">
        <f>IF('Market Penetration'!G39=0,0,1000*G39*'Market Data'!$E$51/('Market Penetration'!G39*'Market Data'!$C$51))</f>
        <v>221309.04629771519</v>
      </c>
      <c r="AD39" s="478">
        <f>IF('Market Penetration'!H39=0,0,1000*H39*'Market Data'!$O$51/('Market Penetration'!H39*'Market Data'!$M$51))</f>
        <v>38886.921592620085</v>
      </c>
      <c r="AE39" s="479">
        <f>IF('Market Penetration'!I39=0,0,1000*I39*'Market Data'!$O$51/('Market Penetration'!I39*'Market Data'!$M$51))</f>
        <v>92331.70353201167</v>
      </c>
      <c r="AF39" s="479">
        <f>IF('Market Penetration'!J39=0,0,1000*J39*'Market Data'!$O$51/('Market Penetration'!J39*'Market Data'!$M$51))</f>
        <v>92331.70353201167</v>
      </c>
      <c r="AG39" s="479">
        <f>IF('Market Penetration'!K39=0,0,1000*K39*'Market Data'!$O$51/('Market Penetration'!K39*'Market Data'!$M$51))</f>
        <v>145197.77100172092</v>
      </c>
      <c r="AH39" s="479">
        <f>IF('Market Penetration'!L39=0,0,1000*L39*'Market Data'!$O$51/('Market Penetration'!L39*'Market Data'!$M$51))</f>
        <v>0</v>
      </c>
      <c r="AI39" s="480">
        <f>IF('Market Penetration'!M39=0,0,1000*M39*'Market Data'!$O$51/('Market Penetration'!M39*'Market Data'!$M$51))</f>
        <v>189622.93372097309</v>
      </c>
      <c r="AJ39" s="478">
        <f>IF('Market Penetration'!N39=0,0,1000*N39*'Market Data'!$Y$51/('Market Penetration'!N39*'Market Data'!$W$51))</f>
        <v>17742.347795302878</v>
      </c>
      <c r="AK39" s="479">
        <f>IF('Market Penetration'!O39=0,0,1000*O39*'Market Data'!$Y$51/('Market Penetration'!O39*'Market Data'!$W$51))</f>
        <v>43759.937246264803</v>
      </c>
      <c r="AL39" s="479">
        <f>IF('Market Penetration'!P39=0,0,1000*P39*'Market Data'!$Y$51/('Market Penetration'!P39*'Market Data'!$W$51))</f>
        <v>39606.219577465527</v>
      </c>
      <c r="AM39" s="795">
        <f>IF('Market Penetration'!Q39=0,0,1000*Q39*'Market Data'!$Y$51/('Market Penetration'!Q39*'Market Data'!$W$51))</f>
        <v>48812.816452466293</v>
      </c>
      <c r="AN39" s="479">
        <f>IF('Market Penetration'!R39=0,0,1000*R39*'Market Data'!$Y$51/('Market Penetration'!R39*'Market Data'!$W$51))</f>
        <v>101990.05722251191</v>
      </c>
      <c r="AO39" s="790">
        <f>IF('Market Penetration'!S39=0,0,1000*S39*'Market Data'!$Y$51/('Market Penetration'!S39*'Market Data'!$W$51))</f>
        <v>71616.088955397965</v>
      </c>
      <c r="AP39" s="478">
        <f>IF('Market Penetration'!T39=0,0,1000*T39*('Market Data'!$E$51+'Market Data'!$O$51+'Market Data'!$Y$51)/('Market Penetration'!T39*('Market Data'!$C$51+'Market Data'!$M$51+'Market Data'!$W$51)))</f>
        <v>19880.642880241616</v>
      </c>
      <c r="AQ39" s="480">
        <f>IF('Market Penetration'!U39=0,0,1000*U39*('Market Data'!$E$51+'Market Data'!$O$51+'Market Data'!$Y$51)/('Market Penetration'!U39*('Market Data'!$C$51+'Market Data'!$M$51+'Market Data'!$W$51)))</f>
        <v>99574.09882555787</v>
      </c>
    </row>
    <row r="40" spans="1:43" ht="15" x14ac:dyDescent="0.25">
      <c r="A40" s="421">
        <v>2038</v>
      </c>
      <c r="B40" s="441">
        <f t="shared" si="12"/>
        <v>1.8611618435306898E-2</v>
      </c>
      <c r="C40" s="442">
        <f>'7&amp;8 Sleep'!$M107+'7&amp;8 Sleep'!$Z107</f>
        <v>0.35668493197027451</v>
      </c>
      <c r="D40" s="442">
        <f>'7&amp;8 Sleep'!$M159+'7&amp;8 Sleep'!$Z159</f>
        <v>0.35486794955514422</v>
      </c>
      <c r="E40" s="800">
        <f>'7&amp;8 Sleep'!$M211+'7&amp;8 Sleep'!$Z211</f>
        <v>0.26947492589786692</v>
      </c>
      <c r="F40" s="442">
        <f>'7&amp;8 Sleep'!$M264+'7&amp;8 Sleep'!$Z264</f>
        <v>3.4392866935048283E-4</v>
      </c>
      <c r="G40" s="758">
        <f>'7&amp;8 Sleep'!$M317+'7&amp;8 Sleep'!$Z317</f>
        <v>1.6645472056985326E-5</v>
      </c>
      <c r="H40" s="959">
        <f t="shared" si="13"/>
        <v>0.16662677797056014</v>
      </c>
      <c r="I40" s="758">
        <f>'7&amp;8 Day'!$M107+'7&amp;8 Day'!$Z107</f>
        <v>0.35002028168365218</v>
      </c>
      <c r="J40" s="758">
        <f>'7&amp;8 Day'!$M159+'7&amp;8 Day'!$Z159</f>
        <v>0.34986344305087491</v>
      </c>
      <c r="K40" s="758">
        <f>'7&amp;8 Day'!$M211+'7&amp;8 Day'!$Z211</f>
        <v>7.9421960036614003E-2</v>
      </c>
      <c r="L40" s="758">
        <f>'7&amp;8 Day'!$M264+'7&amp;8 Day'!$Z264</f>
        <v>0</v>
      </c>
      <c r="M40" s="805">
        <f>'7&amp;8 Day'!$M317+'7&amp;8 Day'!$Z317</f>
        <v>5.4067537258298784E-2</v>
      </c>
      <c r="N40" s="441">
        <f t="shared" si="14"/>
        <v>0.41434195651534123</v>
      </c>
      <c r="O40" s="442">
        <f>'7&amp;8 SU'!$M107+'7&amp;8 SU'!$Z107</f>
        <v>0.18345907555698016</v>
      </c>
      <c r="P40" s="442">
        <f>'7&amp;8 SU'!$M159+'7&amp;8 SU'!$Z159</f>
        <v>0.24021018791018117</v>
      </c>
      <c r="Q40" s="800">
        <f>'7&amp;8 SU'!$M211+'7&amp;8 SU'!$Z211</f>
        <v>0.13456053701399623</v>
      </c>
      <c r="R40" s="442">
        <f>'7&amp;8 SU'!$M264+'7&amp;8 SU'!$Z264</f>
        <v>2.7026526466993626E-2</v>
      </c>
      <c r="S40" s="758">
        <f>'7&amp;8 SU'!$M317+'7&amp;8 SU'!$Z317</f>
        <v>4.0171653650754264E-4</v>
      </c>
      <c r="T40" s="441">
        <f>B40*'Market Data'!$E$52+H40*'Market Data'!$O$52+N40*+N40*'Market Data'!$Y$52</f>
        <v>6.8142214494148978E-2</v>
      </c>
      <c r="U40" s="443">
        <f>SUM(C40:G40)*'Market Data'!$E$52+SUM(I40:M40)*'Market Data'!$O$52+SUM(O40:S40)*+N40*'Market Data'!$Y$52</f>
        <v>0.87933690495098749</v>
      </c>
      <c r="W40" s="421">
        <v>2038</v>
      </c>
      <c r="X40" s="478">
        <f>IF('Market Penetration'!B40=0,0,1000*B40*'Market Data'!$E$51/('Market Penetration'!B40*'Market Data'!$C$51))</f>
        <v>39032.536162279262</v>
      </c>
      <c r="Y40" s="479">
        <f>IF('Market Penetration'!C40=0,0,1000*C40*'Market Data'!$E$51/('Market Penetration'!C40*'Market Data'!$C$51))</f>
        <v>115975.11765031335</v>
      </c>
      <c r="Z40" s="479">
        <f>IF('Market Penetration'!D40=0,0,1000*D40*'Market Data'!$E$51/('Market Penetration'!D40*'Market Data'!$C$51))</f>
        <v>116494.80531936903</v>
      </c>
      <c r="AA40" s="795">
        <f>IF('Market Penetration'!E40=0,0,1000*E40*'Market Data'!$E$51/('Market Penetration'!E40*'Market Data'!$C$51))</f>
        <v>125369.09010016396</v>
      </c>
      <c r="AB40" s="479">
        <f>IF('Market Penetration'!F40=0,0,1000*F40*'Market Data'!$E$51/('Market Penetration'!F40*'Market Data'!$C$51))</f>
        <v>225043.25739479953</v>
      </c>
      <c r="AC40" s="790">
        <f>IF('Market Penetration'!G40=0,0,1000*G40*'Market Data'!$E$51/('Market Penetration'!G40*'Market Data'!$C$51))</f>
        <v>174681.45930382036</v>
      </c>
      <c r="AD40" s="478">
        <f>IF('Market Penetration'!H40=0,0,1000*H40*'Market Data'!$O$51/('Market Penetration'!H40*'Market Data'!$M$51))</f>
        <v>38886.75657739157</v>
      </c>
      <c r="AE40" s="479">
        <f>IF('Market Penetration'!I40=0,0,1000*I40*'Market Data'!$O$51/('Market Penetration'!I40*'Market Data'!$M$51))</f>
        <v>90544.458728707934</v>
      </c>
      <c r="AF40" s="479">
        <f>IF('Market Penetration'!J40=0,0,1000*J40*'Market Data'!$O$51/('Market Penetration'!J40*'Market Data'!$M$51))</f>
        <v>90544.458728707978</v>
      </c>
      <c r="AG40" s="479">
        <f>IF('Market Penetration'!K40=0,0,1000*K40*'Market Data'!$O$51/('Market Penetration'!K40*'Market Data'!$M$51))</f>
        <v>138701.7041446089</v>
      </c>
      <c r="AH40" s="479">
        <f>IF('Market Penetration'!L40=0,0,1000*L40*'Market Data'!$O$51/('Market Penetration'!L40*'Market Data'!$M$51))</f>
        <v>0</v>
      </c>
      <c r="AI40" s="480">
        <f>IF('Market Penetration'!M40=0,0,1000*M40*'Market Data'!$O$51/('Market Penetration'!M40*'Market Data'!$M$51))</f>
        <v>134389.68176269857</v>
      </c>
      <c r="AJ40" s="478">
        <f>IF('Market Penetration'!N40=0,0,1000*N40*'Market Data'!$Y$51/('Market Penetration'!N40*'Market Data'!$W$51))</f>
        <v>17745.916924222911</v>
      </c>
      <c r="AK40" s="479">
        <f>IF('Market Penetration'!O40=0,0,1000*O40*'Market Data'!$Y$51/('Market Penetration'!O40*'Market Data'!$W$51))</f>
        <v>43493.071537410658</v>
      </c>
      <c r="AL40" s="479">
        <f>IF('Market Penetration'!P40=0,0,1000*P40*'Market Data'!$Y$51/('Market Penetration'!P40*'Market Data'!$W$51))</f>
        <v>39510.740926626211</v>
      </c>
      <c r="AM40" s="795">
        <f>IF('Market Penetration'!Q40=0,0,1000*Q40*'Market Data'!$Y$51/('Market Penetration'!Q40*'Market Data'!$W$51))</f>
        <v>48830.92442060406</v>
      </c>
      <c r="AN40" s="479">
        <f>IF('Market Penetration'!R40=0,0,1000*R40*'Market Data'!$Y$51/('Market Penetration'!R40*'Market Data'!$W$51))</f>
        <v>98335.834452378753</v>
      </c>
      <c r="AO40" s="790">
        <f>IF('Market Penetration'!S40=0,0,1000*S40*'Market Data'!$Y$51/('Market Penetration'!S40*'Market Data'!$W$51))</f>
        <v>71590.301812006903</v>
      </c>
      <c r="AP40" s="478">
        <f>IF('Market Penetration'!T40=0,0,1000*T40*('Market Data'!$E$51+'Market Data'!$O$51+'Market Data'!$Y$51)/('Market Penetration'!T40*('Market Data'!$C$51+'Market Data'!$M$51+'Market Data'!$W$51)))</f>
        <v>19756.656666462713</v>
      </c>
      <c r="AQ40" s="480">
        <f>IF('Market Penetration'!U40=0,0,1000*U40*('Market Data'!$E$51+'Market Data'!$O$51+'Market Data'!$Y$51)/('Market Penetration'!U40*('Market Data'!$C$51+'Market Data'!$M$51+'Market Data'!$W$51)))</f>
        <v>99572.300459808292</v>
      </c>
    </row>
    <row r="41" spans="1:43" ht="15" x14ac:dyDescent="0.25">
      <c r="A41" s="421">
        <v>2039</v>
      </c>
      <c r="B41" s="441">
        <f t="shared" si="12"/>
        <v>1.8415124297366692E-2</v>
      </c>
      <c r="C41" s="442">
        <f>'7&amp;8 Sleep'!$M108+'7&amp;8 Sleep'!$Z108</f>
        <v>0.35408420295748527</v>
      </c>
      <c r="D41" s="442">
        <f>'7&amp;8 Sleep'!$M160+'7&amp;8 Sleep'!$Z160</f>
        <v>0.35216044146283898</v>
      </c>
      <c r="E41" s="800">
        <f>'7&amp;8 Sleep'!$M212+'7&amp;8 Sleep'!$Z212</f>
        <v>0.26796760921808593</v>
      </c>
      <c r="F41" s="442">
        <f>'7&amp;8 Sleep'!$M265+'7&amp;8 Sleep'!$Z265</f>
        <v>1.0466604167291154E-3</v>
      </c>
      <c r="G41" s="758">
        <f>'7&amp;8 Sleep'!$M318+'7&amp;8 Sleep'!$Z318</f>
        <v>6.3259616474940468E-3</v>
      </c>
      <c r="H41" s="959">
        <f t="shared" si="13"/>
        <v>0.16477520556328717</v>
      </c>
      <c r="I41" s="758">
        <f>'7&amp;8 Day'!$M108+'7&amp;8 Day'!$Z108</f>
        <v>0.3204517109169448</v>
      </c>
      <c r="J41" s="758">
        <f>'7&amp;8 Day'!$M160+'7&amp;8 Day'!$Z160</f>
        <v>0.32006885530620466</v>
      </c>
      <c r="K41" s="758">
        <f>'7&amp;8 Day'!$M212+'7&amp;8 Day'!$Z212</f>
        <v>8.9648967326231427E-2</v>
      </c>
      <c r="L41" s="758">
        <f>'7&amp;8 Day'!$M265+'7&amp;8 Day'!$Z265</f>
        <v>0</v>
      </c>
      <c r="M41" s="805">
        <f>'7&amp;8 Day'!$M318+'7&amp;8 Day'!$Z318</f>
        <v>0.10505526088733197</v>
      </c>
      <c r="N41" s="441">
        <f t="shared" si="14"/>
        <v>0.40947534838331301</v>
      </c>
      <c r="O41" s="442">
        <f>'7&amp;8 SU'!$M108+'7&amp;8 SU'!$Z108</f>
        <v>0.18251599859883411</v>
      </c>
      <c r="P41" s="442">
        <f>'7&amp;8 SU'!$M160+'7&amp;8 SU'!$Z160</f>
        <v>0.24199098996331908</v>
      </c>
      <c r="Q41" s="800">
        <f>'7&amp;8 SU'!$M212+'7&amp;8 SU'!$Z212</f>
        <v>0.13546968423254746</v>
      </c>
      <c r="R41" s="442">
        <f>'7&amp;8 SU'!$M265+'7&amp;8 SU'!$Z265</f>
        <v>2.9467363512759935E-2</v>
      </c>
      <c r="S41" s="758">
        <f>'7&amp;8 SU'!$M318+'7&amp;8 SU'!$Z318</f>
        <v>1.0806153092264167E-3</v>
      </c>
      <c r="T41" s="441">
        <f>B41*'Market Data'!$E$52+H41*'Market Data'!$O$52+N41*+N41*'Market Data'!$Y$52</f>
        <v>6.7203452562494159E-2</v>
      </c>
      <c r="U41" s="443">
        <f>SUM(C41:G41)*'Market Data'!$E$52+SUM(I41:M41)*'Market Data'!$O$52+SUM(O41:S41)*+N41*'Market Data'!$Y$52</f>
        <v>0.87983923721646917</v>
      </c>
      <c r="W41" s="421">
        <v>2039</v>
      </c>
      <c r="X41" s="478">
        <f>IF('Market Penetration'!B41=0,0,1000*B41*'Market Data'!$E$51/('Market Penetration'!B41*'Market Data'!$C$51))</f>
        <v>39194.548539919044</v>
      </c>
      <c r="Y41" s="479">
        <f>IF('Market Penetration'!C41=0,0,1000*C41*'Market Data'!$E$51/('Market Penetration'!C41*'Market Data'!$C$51))</f>
        <v>115603.47435148433</v>
      </c>
      <c r="Z41" s="479">
        <f>IF('Market Penetration'!D41=0,0,1000*D41*'Market Data'!$E$51/('Market Penetration'!D41*'Market Data'!$C$51))</f>
        <v>116233.93474762749</v>
      </c>
      <c r="AA41" s="795">
        <f>IF('Market Penetration'!E41=0,0,1000*E41*'Market Data'!$E$51/('Market Penetration'!E41*'Market Data'!$C$51))</f>
        <v>124887.96910378664</v>
      </c>
      <c r="AB41" s="479">
        <f>IF('Market Penetration'!F41=0,0,1000*F41*'Market Data'!$E$51/('Market Penetration'!F41*'Market Data'!$C$51))</f>
        <v>222576.1336089106</v>
      </c>
      <c r="AC41" s="790">
        <f>IF('Market Penetration'!G41=0,0,1000*G41*'Market Data'!$E$51/('Market Penetration'!G41*'Market Data'!$C$51))</f>
        <v>172085.07071122274</v>
      </c>
      <c r="AD41" s="478">
        <f>IF('Market Penetration'!H41=0,0,1000*H41*'Market Data'!$O$51/('Market Penetration'!H41*'Market Data'!$M$51))</f>
        <v>38601.047922175028</v>
      </c>
      <c r="AE41" s="479">
        <f>IF('Market Penetration'!I41=0,0,1000*I41*'Market Data'!$O$51/('Market Penetration'!I41*'Market Data'!$M$51))</f>
        <v>89996.67426821409</v>
      </c>
      <c r="AF41" s="479">
        <f>IF('Market Penetration'!J41=0,0,1000*J41*'Market Data'!$O$51/('Market Penetration'!J41*'Market Data'!$M$51))</f>
        <v>89976.710569937874</v>
      </c>
      <c r="AG41" s="479">
        <f>IF('Market Penetration'!K41=0,0,1000*K41*'Market Data'!$O$51/('Market Penetration'!K41*'Market Data'!$M$51))</f>
        <v>132731.25426965533</v>
      </c>
      <c r="AH41" s="479">
        <f>IF('Market Penetration'!L41=0,0,1000*L41*'Market Data'!$O$51/('Market Penetration'!L41*'Market Data'!$M$51))</f>
        <v>0</v>
      </c>
      <c r="AI41" s="480">
        <f>IF('Market Penetration'!M41=0,0,1000*M41*'Market Data'!$O$51/('Market Penetration'!M41*'Market Data'!$M$51))</f>
        <v>113262.15086273616</v>
      </c>
      <c r="AJ41" s="478">
        <f>IF('Market Penetration'!N41=0,0,1000*N41*'Market Data'!$Y$51/('Market Penetration'!N41*'Market Data'!$W$51))</f>
        <v>17664.441162299707</v>
      </c>
      <c r="AK41" s="479">
        <f>IF('Market Penetration'!O41=0,0,1000*O41*'Market Data'!$Y$51/('Market Penetration'!O41*'Market Data'!$W$51))</f>
        <v>43339.669041939385</v>
      </c>
      <c r="AL41" s="479">
        <f>IF('Market Penetration'!P41=0,0,1000*P41*'Market Data'!$Y$51/('Market Penetration'!P41*'Market Data'!$W$51))</f>
        <v>39230.974882989431</v>
      </c>
      <c r="AM41" s="795">
        <f>IF('Market Penetration'!Q41=0,0,1000*Q41*'Market Data'!$Y$51/('Market Penetration'!Q41*'Market Data'!$W$51))</f>
        <v>48449.340972093676</v>
      </c>
      <c r="AN41" s="479">
        <f>IF('Market Penetration'!R41=0,0,1000*R41*'Market Data'!$Y$51/('Market Penetration'!R41*'Market Data'!$W$51))</f>
        <v>94881.612267653094</v>
      </c>
      <c r="AO41" s="790">
        <f>IF('Market Penetration'!S41=0,0,1000*S41*'Market Data'!$Y$51/('Market Penetration'!S41*'Market Data'!$W$51))</f>
        <v>70609.929009691215</v>
      </c>
      <c r="AP41" s="478">
        <f>IF('Market Penetration'!T41=0,0,1000*T41*('Market Data'!$E$51+'Market Data'!$O$51+'Market Data'!$Y$51)/('Market Penetration'!T41*('Market Data'!$C$51+'Market Data'!$M$51+'Market Data'!$W$51)))</f>
        <v>19618.996360055633</v>
      </c>
      <c r="AQ41" s="480">
        <f>IF('Market Penetration'!U41=0,0,1000*U41*('Market Data'!$E$51+'Market Data'!$O$51+'Market Data'!$Y$51)/('Market Penetration'!U41*('Market Data'!$C$51+'Market Data'!$M$51+'Market Data'!$W$51)))</f>
        <v>99363.101849924074</v>
      </c>
    </row>
    <row r="42" spans="1:43" ht="15" x14ac:dyDescent="0.25">
      <c r="A42" s="420">
        <v>2040</v>
      </c>
      <c r="B42" s="444">
        <f t="shared" si="12"/>
        <v>1.8287035438477206E-2</v>
      </c>
      <c r="C42" s="445">
        <f>'7&amp;8 Sleep'!$M109+'7&amp;8 Sleep'!$Z109</f>
        <v>0.34671782716052024</v>
      </c>
      <c r="D42" s="445">
        <f>'7&amp;8 Sleep'!$M161+'7&amp;8 Sleep'!$Z161</f>
        <v>0.34474967837680792</v>
      </c>
      <c r="E42" s="801">
        <f>'7&amp;8 Sleep'!$M213+'7&amp;8 Sleep'!$Z213</f>
        <v>0.26413662938885202</v>
      </c>
      <c r="F42" s="445">
        <f>'7&amp;8 Sleep'!$M266+'7&amp;8 Sleep'!$Z266</f>
        <v>2.8037132795974582E-3</v>
      </c>
      <c r="G42" s="759">
        <f>'7&amp;8 Sleep'!$M319+'7&amp;8 Sleep'!$Z319</f>
        <v>2.330511635574516E-2</v>
      </c>
      <c r="H42" s="960">
        <f t="shared" si="13"/>
        <v>0.16420652496320576</v>
      </c>
      <c r="I42" s="759">
        <f>'7&amp;8 Day'!$M109+'7&amp;8 Day'!$Z109</f>
        <v>0.30031669583343229</v>
      </c>
      <c r="J42" s="759">
        <f>'7&amp;8 Day'!$M161+'7&amp;8 Day'!$Z161</f>
        <v>0.29988550986643497</v>
      </c>
      <c r="K42" s="759">
        <f>'7&amp;8 Day'!$M213+'7&amp;8 Day'!$Z213</f>
        <v>0.10564314455719748</v>
      </c>
      <c r="L42" s="759">
        <f>'7&amp;8 Day'!$M266+'7&amp;8 Day'!$Z266</f>
        <v>0</v>
      </c>
      <c r="M42" s="806">
        <f>'7&amp;8 Day'!$M319+'7&amp;8 Day'!$Z319</f>
        <v>0.12994812477972953</v>
      </c>
      <c r="N42" s="444">
        <f t="shared" si="14"/>
        <v>0.40061837349072216</v>
      </c>
      <c r="O42" s="445">
        <f>'7&amp;8 SU'!$M109+'7&amp;8 SU'!$Z109</f>
        <v>0.18273543014145194</v>
      </c>
      <c r="P42" s="445">
        <f>'7&amp;8 SU'!$M161+'7&amp;8 SU'!$Z161</f>
        <v>0.24651381800294309</v>
      </c>
      <c r="Q42" s="801">
        <f>'7&amp;8 SU'!$M213+'7&amp;8 SU'!$Z213</f>
        <v>0.13433363643003399</v>
      </c>
      <c r="R42" s="445">
        <f>'7&amp;8 SU'!$M266+'7&amp;8 SU'!$Z266</f>
        <v>3.2755854140226477E-2</v>
      </c>
      <c r="S42" s="759">
        <f>'7&amp;8 SU'!$M319+'7&amp;8 SU'!$Z319</f>
        <v>3.0428877946221972E-3</v>
      </c>
      <c r="T42" s="444">
        <f>B42*'Market Data'!$E$52+H42*'Market Data'!$O$52+N42*+N42*'Market Data'!$Y$52</f>
        <v>6.6336833982234264E-2</v>
      </c>
      <c r="U42" s="446">
        <f>SUM(C42:G42)*'Market Data'!$E$52+SUM(I42:M42)*'Market Data'!$O$52+SUM(O42:S42)*+N42*'Market Data'!$Y$52</f>
        <v>0.87991157639497553</v>
      </c>
      <c r="W42" s="420">
        <v>2040</v>
      </c>
      <c r="X42" s="481">
        <f>IF('Market Penetration'!B42=0,0,1000*B42*'Market Data'!$E$51/('Market Penetration'!B42*'Market Data'!$C$51))</f>
        <v>39130.51198355532</v>
      </c>
      <c r="Y42" s="482">
        <f>IF('Market Penetration'!C42=0,0,1000*C42*'Market Data'!$E$51/('Market Penetration'!C42*'Market Data'!$C$51))</f>
        <v>115259.49992828314</v>
      </c>
      <c r="Z42" s="482">
        <f>IF('Market Penetration'!D42=0,0,1000*D42*'Market Data'!$E$51/('Market Penetration'!D42*'Market Data'!$C$51))</f>
        <v>115922.85204840635</v>
      </c>
      <c r="AA42" s="796">
        <f>IF('Market Penetration'!E42=0,0,1000*E42*'Market Data'!$E$51/('Market Penetration'!E42*'Market Data'!$C$51))</f>
        <v>124521.47128514711</v>
      </c>
      <c r="AB42" s="482">
        <f>IF('Market Penetration'!F42=0,0,1000*F42*'Market Data'!$E$51/('Market Penetration'!F42*'Market Data'!$C$51))</f>
        <v>216251.78362592746</v>
      </c>
      <c r="AC42" s="791">
        <f>IF('Market Penetration'!G42=0,0,1000*G42*'Market Data'!$E$51/('Market Penetration'!G42*'Market Data'!$C$51))</f>
        <v>140374.21078178182</v>
      </c>
      <c r="AD42" s="481">
        <f>IF('Market Penetration'!H42=0,0,1000*H42*'Market Data'!$O$51/('Market Penetration'!H42*'Market Data'!$M$51))</f>
        <v>38630.36925757159</v>
      </c>
      <c r="AE42" s="482">
        <f>IF('Market Penetration'!I42=0,0,1000*I42*'Market Data'!$O$51/('Market Penetration'!I42*'Market Data'!$M$51))</f>
        <v>90154.180745260615</v>
      </c>
      <c r="AF42" s="482">
        <f>IF('Market Penetration'!J42=0,0,1000*J42*'Market Data'!$O$51/('Market Penetration'!J42*'Market Data'!$M$51))</f>
        <v>90319.268363815878</v>
      </c>
      <c r="AG42" s="482">
        <f>IF('Market Penetration'!K42=0,0,1000*K42*'Market Data'!$O$51/('Market Penetration'!K42*'Market Data'!$M$51))</f>
        <v>125759.23618121503</v>
      </c>
      <c r="AH42" s="482">
        <f>IF('Market Penetration'!L42=0,0,1000*L42*'Market Data'!$O$51/('Market Penetration'!L42*'Market Data'!$M$51))</f>
        <v>0</v>
      </c>
      <c r="AI42" s="483">
        <f>IF('Market Penetration'!M42=0,0,1000*M42*'Market Data'!$O$51/('Market Penetration'!M42*'Market Data'!$M$51))</f>
        <v>104175.5878579227</v>
      </c>
      <c r="AJ42" s="481">
        <f>IF('Market Penetration'!N42=0,0,1000*N42*'Market Data'!$Y$51/('Market Penetration'!N42*'Market Data'!$W$51))</f>
        <v>17515.321634803084</v>
      </c>
      <c r="AK42" s="482">
        <f>IF('Market Penetration'!O42=0,0,1000*O42*'Market Data'!$Y$51/('Market Penetration'!O42*'Market Data'!$W$51))</f>
        <v>43066.018539560013</v>
      </c>
      <c r="AL42" s="482">
        <f>IF('Market Penetration'!P42=0,0,1000*P42*'Market Data'!$Y$51/('Market Penetration'!P42*'Market Data'!$W$51))</f>
        <v>38713.384341891506</v>
      </c>
      <c r="AM42" s="796">
        <f>IF('Market Penetration'!Q42=0,0,1000*Q42*'Market Data'!$Y$51/('Market Penetration'!Q42*'Market Data'!$W$51))</f>
        <v>48135.522189160489</v>
      </c>
      <c r="AN42" s="482">
        <f>IF('Market Penetration'!R42=0,0,1000*R42*'Market Data'!$Y$51/('Market Penetration'!R42*'Market Data'!$W$51))</f>
        <v>89950.979889188937</v>
      </c>
      <c r="AO42" s="791">
        <f>IF('Market Penetration'!S42=0,0,1000*S42*'Market Data'!$Y$51/('Market Penetration'!S42*'Market Data'!$W$51))</f>
        <v>68754.658586803984</v>
      </c>
      <c r="AP42" s="481">
        <f>IF('Market Penetration'!T42=0,0,1000*T42*('Market Data'!$E$51+'Market Data'!$O$51+'Market Data'!$Y$51)/('Market Penetration'!T42*('Market Data'!$C$51+'Market Data'!$M$51+'Market Data'!$W$51)))</f>
        <v>19558.236045495232</v>
      </c>
      <c r="AQ42" s="483">
        <f>IF('Market Penetration'!U42=0,0,1000*U42*('Market Data'!$E$51+'Market Data'!$O$51+'Market Data'!$Y$51)/('Market Penetration'!U42*('Market Data'!$C$51+'Market Data'!$M$51+'Market Data'!$W$51)))</f>
        <v>98994.868395819518</v>
      </c>
    </row>
    <row r="43" spans="1:43" ht="15" x14ac:dyDescent="0.25">
      <c r="A43" s="421">
        <v>2041</v>
      </c>
      <c r="B43" s="448">
        <f t="shared" si="12"/>
        <v>1.828696560354548E-2</v>
      </c>
      <c r="C43" s="449">
        <f>'7&amp;8 Sleep'!$M110+'7&amp;8 Sleep'!$Z110</f>
        <v>0.34043707382178034</v>
      </c>
      <c r="D43" s="449">
        <f>'7&amp;8 Sleep'!$M162+'7&amp;8 Sleep'!$Z162</f>
        <v>0.33848684088073877</v>
      </c>
      <c r="E43" s="802">
        <f>'7&amp;8 Sleep'!$M214+'7&amp;8 Sleep'!$Z214</f>
        <v>0.25900198639124872</v>
      </c>
      <c r="F43" s="449">
        <f>'7&amp;8 Sleep'!$M267+'7&amp;8 Sleep'!$Z267</f>
        <v>6.6626122140912292E-3</v>
      </c>
      <c r="G43" s="760">
        <f>'7&amp;8 Sleep'!$M320+'7&amp;8 Sleep'!$Z320</f>
        <v>3.7124521088595423E-2</v>
      </c>
      <c r="H43" s="961">
        <f t="shared" si="13"/>
        <v>0.16420646550837281</v>
      </c>
      <c r="I43" s="760">
        <f>'7&amp;8 Day'!$M110+'7&amp;8 Day'!$Z110</f>
        <v>0.28461360415094666</v>
      </c>
      <c r="J43" s="760">
        <f>'7&amp;8 Day'!$M162+'7&amp;8 Day'!$Z162</f>
        <v>0.28418988281247476</v>
      </c>
      <c r="K43" s="760">
        <f>'7&amp;8 Day'!$M214+'7&amp;8 Day'!$Z214</f>
        <v>0.12392184458887011</v>
      </c>
      <c r="L43" s="760">
        <f>'7&amp;8 Day'!$M267+'7&amp;8 Day'!$Z267</f>
        <v>0</v>
      </c>
      <c r="M43" s="807">
        <f>'7&amp;8 Day'!$M320+'7&amp;8 Day'!$Z320</f>
        <v>0.14306820293933561</v>
      </c>
      <c r="N43" s="448">
        <f t="shared" si="14"/>
        <v>0.39844309149393531</v>
      </c>
      <c r="O43" s="449">
        <f>'7&amp;8 SU'!$M110+'7&amp;8 SU'!$Z110</f>
        <v>0.18003842565869962</v>
      </c>
      <c r="P43" s="449">
        <f>'7&amp;8 SU'!$M162+'7&amp;8 SU'!$Z162</f>
        <v>0.24434218119884793</v>
      </c>
      <c r="Q43" s="802">
        <f>'7&amp;8 SU'!$M214+'7&amp;8 SU'!$Z214</f>
        <v>0.1319790772672027</v>
      </c>
      <c r="R43" s="449">
        <f>'7&amp;8 SU'!$M267+'7&amp;8 SU'!$Z267</f>
        <v>3.816356265691509E-2</v>
      </c>
      <c r="S43" s="760">
        <f>'7&amp;8 SU'!$M320+'7&amp;8 SU'!$Z320</f>
        <v>7.0336617243993019E-3</v>
      </c>
      <c r="T43" s="451">
        <f>B43*'Market Data'!$E$52+H43*'Market Data'!$O$52+N43*+N43*'Market Data'!$Y$52</f>
        <v>6.6180895346448165E-2</v>
      </c>
      <c r="U43" s="452">
        <f>SUM(C43:G43)*'Market Data'!$E$52+SUM(I43:M43)*'Market Data'!$O$52+SUM(O43:S43)*+N43*'Market Data'!$Y$52</f>
        <v>0.87987243920588842</v>
      </c>
      <c r="W43" s="421">
        <v>2041</v>
      </c>
      <c r="X43" s="484">
        <f>IF('Market Penetration'!B43=0,0,1000*B43*'Market Data'!$E$51/('Market Penetration'!B43*'Market Data'!$C$51))</f>
        <v>39130.411882809363</v>
      </c>
      <c r="Y43" s="485">
        <f>IF('Market Penetration'!C43=0,0,1000*C43*'Market Data'!$E$51/('Market Penetration'!C43*'Market Data'!$C$51))</f>
        <v>115108.6829297646</v>
      </c>
      <c r="Z43" s="485">
        <f>IF('Market Penetration'!D43=0,0,1000*D43*'Market Data'!$E$51/('Market Penetration'!D43*'Market Data'!$C$51))</f>
        <v>115780.22950148571</v>
      </c>
      <c r="AA43" s="797">
        <f>IF('Market Penetration'!E43=0,0,1000*E43*'Market Data'!$E$51/('Market Penetration'!E43*'Market Data'!$C$51))</f>
        <v>124399.35942767859</v>
      </c>
      <c r="AB43" s="485">
        <f>IF('Market Penetration'!F43=0,0,1000*F43*'Market Data'!$E$51/('Market Penetration'!F43*'Market Data'!$C$51))</f>
        <v>198941.41102808039</v>
      </c>
      <c r="AC43" s="792">
        <f>IF('Market Penetration'!G43=0,0,1000*G43*'Market Data'!$E$51/('Market Penetration'!G43*'Market Data'!$C$51))</f>
        <v>129923.53292831361</v>
      </c>
      <c r="AD43" s="484">
        <f>IF('Market Penetration'!H43=0,0,1000*H43*'Market Data'!$O$51/('Market Penetration'!H43*'Market Data'!$M$51))</f>
        <v>38630.360920044433</v>
      </c>
      <c r="AE43" s="485">
        <f>IF('Market Penetration'!I43=0,0,1000*I43*'Market Data'!$O$51/('Market Penetration'!I43*'Market Data'!$M$51))</f>
        <v>90927.906134286415</v>
      </c>
      <c r="AF43" s="485">
        <f>IF('Market Penetration'!J43=0,0,1000*J43*'Market Data'!$O$51/('Market Penetration'!J43*'Market Data'!$M$51))</f>
        <v>91105.695354531097</v>
      </c>
      <c r="AG43" s="485">
        <f>IF('Market Penetration'!K43=0,0,1000*K43*'Market Data'!$O$51/('Market Penetration'!K43*'Market Data'!$M$51))</f>
        <v>119213.00189448879</v>
      </c>
      <c r="AH43" s="485">
        <f>IF('Market Penetration'!L43=0,0,1000*L43*'Market Data'!$O$51/('Market Penetration'!L43*'Market Data'!$M$51))</f>
        <v>0</v>
      </c>
      <c r="AI43" s="966">
        <f>IF('Market Penetration'!M43=0,0,1000*M43*'Market Data'!$O$51/('Market Penetration'!M43*'Market Data'!$M$51))</f>
        <v>98672.964942012186</v>
      </c>
      <c r="AJ43" s="484">
        <f>IF('Market Penetration'!N43=0,0,1000*N43*'Market Data'!$Y$51/('Market Penetration'!N43*'Market Data'!$W$51))</f>
        <v>17454.043068588428</v>
      </c>
      <c r="AK43" s="485">
        <f>IF('Market Penetration'!O43=0,0,1000*O43*'Market Data'!$Y$51/('Market Penetration'!O43*'Market Data'!$W$51))</f>
        <v>42870.990179002882</v>
      </c>
      <c r="AL43" s="485">
        <f>IF('Market Penetration'!P43=0,0,1000*P43*'Market Data'!$Y$51/('Market Penetration'!P43*'Market Data'!$W$51))</f>
        <v>38570.491574686355</v>
      </c>
      <c r="AM43" s="797">
        <f>IF('Market Penetration'!Q43=0,0,1000*Q43*'Market Data'!$Y$51/('Market Penetration'!Q43*'Market Data'!$W$51))</f>
        <v>47931.418338581083</v>
      </c>
      <c r="AN43" s="485">
        <f>IF('Market Penetration'!R43=0,0,1000*R43*'Market Data'!$Y$51/('Market Penetration'!R43*'Market Data'!$W$51))</f>
        <v>83113.296891711259</v>
      </c>
      <c r="AO43" s="792">
        <f>IF('Market Penetration'!S43=0,0,1000*S43*'Market Data'!$Y$51/('Market Penetration'!S43*'Market Data'!$W$51))</f>
        <v>65660.897568907574</v>
      </c>
      <c r="AP43" s="486">
        <f>IF('Market Penetration'!T43=0,0,1000*T43*('Market Data'!$E$51+'Market Data'!$O$51+'Market Data'!$Y$51)/('Market Penetration'!T43*('Market Data'!$C$51+'Market Data'!$M$51+'Market Data'!$W$51)))</f>
        <v>19535.159002095348</v>
      </c>
      <c r="AQ43" s="487">
        <f>IF('Market Penetration'!U43=0,0,1000*U43*('Market Data'!$E$51+'Market Data'!$O$51+'Market Data'!$Y$51)/('Market Penetration'!U43*('Market Data'!$C$51+'Market Data'!$M$51+'Market Data'!$W$51)))</f>
        <v>98946.207270434126</v>
      </c>
    </row>
    <row r="44" spans="1:43" ht="15" x14ac:dyDescent="0.25">
      <c r="A44" s="421">
        <v>2042</v>
      </c>
      <c r="B44" s="441">
        <f t="shared" si="12"/>
        <v>1.8286939912707356E-2</v>
      </c>
      <c r="C44" s="442">
        <f>'7&amp;8 Sleep'!$M111+'7&amp;8 Sleep'!$Z111</f>
        <v>0.33237378996800238</v>
      </c>
      <c r="D44" s="442">
        <f>'7&amp;8 Sleep'!$M163+'7&amp;8 Sleep'!$Z163</f>
        <v>0.33053867603253095</v>
      </c>
      <c r="E44" s="800">
        <f>'7&amp;8 Sleep'!$M215+'7&amp;8 Sleep'!$Z215</f>
        <v>0.25245246258994308</v>
      </c>
      <c r="F44" s="442">
        <f>'7&amp;8 Sleep'!$M268+'7&amp;8 Sleep'!$Z268</f>
        <v>1.9486731535738374E-2</v>
      </c>
      <c r="G44" s="758">
        <f>'7&amp;8 Sleep'!$M321+'7&amp;8 Sleep'!$Z321</f>
        <v>4.6861399961077986E-2</v>
      </c>
      <c r="H44" s="959">
        <f t="shared" si="13"/>
        <v>0.15727399070892945</v>
      </c>
      <c r="I44" s="758">
        <f>'7&amp;8 Day'!$M111+'7&amp;8 Day'!$Z111</f>
        <v>0.27210869825981432</v>
      </c>
      <c r="J44" s="758">
        <f>'7&amp;8 Day'!$M163+'7&amp;8 Day'!$Z163</f>
        <v>0.27109929606063238</v>
      </c>
      <c r="K44" s="758">
        <f>'7&amp;8 Day'!$M215+'7&amp;8 Day'!$Z215</f>
        <v>0.15002774570706784</v>
      </c>
      <c r="L44" s="758">
        <f>'7&amp;8 Day'!$M268+'7&amp;8 Day'!$Z268</f>
        <v>3.0061382098079453E-5</v>
      </c>
      <c r="M44" s="805">
        <f>'7&amp;8 Day'!$M321+'7&amp;8 Day'!$Z321</f>
        <v>0.14946020788145811</v>
      </c>
      <c r="N44" s="441">
        <f t="shared" si="14"/>
        <v>0.39577298044351905</v>
      </c>
      <c r="O44" s="442">
        <f>'7&amp;8 SU'!$M111+'7&amp;8 SU'!$Z111</f>
        <v>0.17462841838432813</v>
      </c>
      <c r="P44" s="442">
        <f>'7&amp;8 SU'!$M163+'7&amp;8 SU'!$Z163</f>
        <v>0.23875179766179538</v>
      </c>
      <c r="Q44" s="800">
        <f>'7&amp;8 SU'!$M215+'7&amp;8 SU'!$Z215</f>
        <v>0.13016153474635983</v>
      </c>
      <c r="R44" s="442">
        <f>'7&amp;8 SU'!$M268+'7&amp;8 SU'!$Z268</f>
        <v>4.615925476516855E-2</v>
      </c>
      <c r="S44" s="758">
        <f>'7&amp;8 SU'!$M321+'7&amp;8 SU'!$Z321</f>
        <v>1.4526013998829069E-2</v>
      </c>
      <c r="T44" s="441">
        <f>B44*'Market Data'!$E$52+H44*'Market Data'!$O$52+N44*+N44*'Market Data'!$Y$52</f>
        <v>6.4313789512344663E-2</v>
      </c>
      <c r="U44" s="443">
        <f>SUM(C44:G44)*'Market Data'!$E$52+SUM(I44:M44)*'Market Data'!$O$52+SUM(O44:S44)*+N44*'Market Data'!$Y$52</f>
        <v>0.88150009373370963</v>
      </c>
      <c r="W44" s="421">
        <v>2042</v>
      </c>
      <c r="X44" s="478">
        <f>IF('Market Penetration'!B44=0,0,1000*B44*'Market Data'!$E$51/('Market Penetration'!B44*'Market Data'!$C$51))</f>
        <v>39130.375057736273</v>
      </c>
      <c r="Y44" s="479">
        <f>IF('Market Penetration'!C44=0,0,1000*C44*'Market Data'!$E$51/('Market Penetration'!C44*'Market Data'!$C$51))</f>
        <v>114934.64362731772</v>
      </c>
      <c r="Z44" s="479">
        <f>IF('Market Penetration'!D44=0,0,1000*D44*'Market Data'!$E$51/('Market Penetration'!D44*'Market Data'!$C$51))</f>
        <v>115521.51444809551</v>
      </c>
      <c r="AA44" s="795">
        <f>IF('Market Penetration'!E44=0,0,1000*E44*'Market Data'!$E$51/('Market Penetration'!E44*'Market Data'!$C$51))</f>
        <v>124184.96266868309</v>
      </c>
      <c r="AB44" s="479">
        <f>IF('Market Penetration'!F44=0,0,1000*F44*'Market Data'!$E$51/('Market Penetration'!F44*'Market Data'!$C$51))</f>
        <v>166151.11660217994</v>
      </c>
      <c r="AC44" s="790">
        <f>IF('Market Penetration'!G44=0,0,1000*G44*'Market Data'!$E$51/('Market Penetration'!G44*'Market Data'!$C$51))</f>
        <v>123636.26095347434</v>
      </c>
      <c r="AD44" s="478">
        <f>IF('Market Penetration'!H44=0,0,1000*H44*'Market Data'!$O$51/('Market Penetration'!H44*'Market Data'!$M$51))</f>
        <v>38020.65405227321</v>
      </c>
      <c r="AE44" s="479">
        <f>IF('Market Penetration'!I44=0,0,1000*I44*'Market Data'!$O$51/('Market Penetration'!I44*'Market Data'!$M$51))</f>
        <v>91624.50075419253</v>
      </c>
      <c r="AF44" s="479">
        <f>IF('Market Penetration'!J44=0,0,1000*J44*'Market Data'!$O$51/('Market Penetration'!J44*'Market Data'!$M$51))</f>
        <v>91631.44419561114</v>
      </c>
      <c r="AG44" s="479">
        <f>IF('Market Penetration'!K44=0,0,1000*K44*'Market Data'!$O$51/('Market Penetration'!K44*'Market Data'!$M$51))</f>
        <v>111428.39770002534</v>
      </c>
      <c r="AH44" s="479">
        <f>IF('Market Penetration'!L44=0,0,1000*L44*'Market Data'!$O$51/('Market Penetration'!L44*'Market Data'!$M$51))</f>
        <v>51742.06587894004</v>
      </c>
      <c r="AI44" s="480">
        <f>IF('Market Penetration'!M44=0,0,1000*M44*'Market Data'!$O$51/('Market Penetration'!M44*'Market Data'!$M$51))</f>
        <v>94736.46146637098</v>
      </c>
      <c r="AJ44" s="478">
        <f>IF('Market Penetration'!N44=0,0,1000*N44*'Market Data'!$Y$51/('Market Penetration'!N44*'Market Data'!$W$51))</f>
        <v>17389.134837541136</v>
      </c>
      <c r="AK44" s="479">
        <f>IF('Market Penetration'!O44=0,0,1000*O44*'Market Data'!$Y$51/('Market Penetration'!O44*'Market Data'!$W$51))</f>
        <v>42738.171114537618</v>
      </c>
      <c r="AL44" s="479">
        <f>IF('Market Penetration'!P44=0,0,1000*P44*'Market Data'!$Y$51/('Market Penetration'!P44*'Market Data'!$W$51))</f>
        <v>38387.491467594686</v>
      </c>
      <c r="AM44" s="795">
        <f>IF('Market Penetration'!Q44=0,0,1000*Q44*'Market Data'!$Y$51/('Market Penetration'!Q44*'Market Data'!$W$51))</f>
        <v>47240.178842441579</v>
      </c>
      <c r="AN44" s="479">
        <f>IF('Market Penetration'!R44=0,0,1000*R44*'Market Data'!$Y$51/('Market Penetration'!R44*'Market Data'!$W$51))</f>
        <v>73964.476149429393</v>
      </c>
      <c r="AO44" s="790">
        <f>IF('Market Penetration'!S44=0,0,1000*S44*'Market Data'!$Y$51/('Market Penetration'!S44*'Market Data'!$W$51))</f>
        <v>61107.737334800549</v>
      </c>
      <c r="AP44" s="478">
        <f>IF('Market Penetration'!T44=0,0,1000*T44*('Market Data'!$E$51+'Market Data'!$O$51+'Market Data'!$Y$51)/('Market Penetration'!T44*('Market Data'!$C$51+'Market Data'!$M$51+'Market Data'!$W$51)))</f>
        <v>19175.030980121937</v>
      </c>
      <c r="AQ44" s="480">
        <f>IF('Market Penetration'!U44=0,0,1000*U44*('Market Data'!$E$51+'Market Data'!$O$51+'Market Data'!$Y$51)/('Market Penetration'!U44*('Market Data'!$C$51+'Market Data'!$M$51+'Market Data'!$W$51)))</f>
        <v>98754.486991866623</v>
      </c>
    </row>
    <row r="45" spans="1:43" ht="15" x14ac:dyDescent="0.25">
      <c r="A45" s="421">
        <v>2043</v>
      </c>
      <c r="B45" s="441">
        <f t="shared" si="12"/>
        <v>1.828693046157559E-2</v>
      </c>
      <c r="C45" s="442">
        <f>'7&amp;8 Sleep'!$M112+'7&amp;8 Sleep'!$Z112</f>
        <v>0.32062720270800033</v>
      </c>
      <c r="D45" s="442">
        <f>'7&amp;8 Sleep'!$M164+'7&amp;8 Sleep'!$Z164</f>
        <v>0.31883708142536649</v>
      </c>
      <c r="E45" s="800">
        <f>'7&amp;8 Sleep'!$M216+'7&amp;8 Sleep'!$Z216</f>
        <v>0.24292267394308104</v>
      </c>
      <c r="F45" s="442">
        <f>'7&amp;8 Sleep'!$M269+'7&amp;8 Sleep'!$Z269</f>
        <v>4.7369764293451043E-2</v>
      </c>
      <c r="G45" s="758">
        <f>'7&amp;8 Sleep'!$M322+'7&amp;8 Sleep'!$Z322</f>
        <v>5.1956347168525444E-2</v>
      </c>
      <c r="H45" s="959">
        <f t="shared" si="13"/>
        <v>0.1334773670537599</v>
      </c>
      <c r="I45" s="758">
        <f>'7&amp;8 Day'!$M112+'7&amp;8 Day'!$Z112</f>
        <v>0.26571440111720451</v>
      </c>
      <c r="J45" s="758">
        <f>'7&amp;8 Day'!$M164+'7&amp;8 Day'!$Z164</f>
        <v>0.26472577318708435</v>
      </c>
      <c r="K45" s="758">
        <f>'7&amp;8 Day'!$M216+'7&amp;8 Day'!$Z216</f>
        <v>0.17616532850056907</v>
      </c>
      <c r="L45" s="758">
        <f>'7&amp;8 Day'!$M269+'7&amp;8 Day'!$Z269</f>
        <v>1.5091291365289146E-3</v>
      </c>
      <c r="M45" s="805">
        <f>'7&amp;8 Day'!$M322+'7&amp;8 Day'!$Z322</f>
        <v>0.15840800100485333</v>
      </c>
      <c r="N45" s="441">
        <f t="shared" si="14"/>
        <v>0.39577296463126221</v>
      </c>
      <c r="O45" s="442">
        <f>'7&amp;8 SU'!$M112+'7&amp;8 SU'!$Z112</f>
        <v>0.16736514909923389</v>
      </c>
      <c r="P45" s="442">
        <f>'7&amp;8 SU'!$M164+'7&amp;8 SU'!$Z164</f>
        <v>0.22942734880488247</v>
      </c>
      <c r="Q45" s="800">
        <f>'7&amp;8 SU'!$M216+'7&amp;8 SU'!$Z216</f>
        <v>0.12454915392517844</v>
      </c>
      <c r="R45" s="442">
        <f>'7&amp;8 SU'!$M269+'7&amp;8 SU'!$Z269</f>
        <v>5.7417739577950169E-2</v>
      </c>
      <c r="S45" s="758">
        <f>'7&amp;8 SU'!$M322+'7&amp;8 SU'!$Z322</f>
        <v>2.5467643961492786E-2</v>
      </c>
      <c r="T45" s="441">
        <f>B45*'Market Data'!$E$52+H45*'Market Data'!$O$52+N45*+N45*'Market Data'!$Y$52</f>
        <v>5.8557560974128453E-2</v>
      </c>
      <c r="U45" s="443">
        <f>SUM(C45:G45)*'Market Data'!$E$52+SUM(I45:M45)*'Market Data'!$O$52+SUM(O45:S45)*+N45*'Market Data'!$Y$52</f>
        <v>0.88725632085390782</v>
      </c>
      <c r="W45" s="421">
        <v>2043</v>
      </c>
      <c r="X45" s="478">
        <f>IF('Market Penetration'!B45=0,0,1000*B45*'Market Data'!$E$51/('Market Penetration'!B45*'Market Data'!$C$51))</f>
        <v>39130.361510539107</v>
      </c>
      <c r="Y45" s="479">
        <f>IF('Market Penetration'!C45=0,0,1000*C45*'Market Data'!$E$51/('Market Penetration'!C45*'Market Data'!$C$51))</f>
        <v>114648.65131559822</v>
      </c>
      <c r="Z45" s="479">
        <f>IF('Market Penetration'!D45=0,0,1000*D45*'Market Data'!$E$51/('Market Penetration'!D45*'Market Data'!$C$51))</f>
        <v>115249.98548649713</v>
      </c>
      <c r="AA45" s="795">
        <f>IF('Market Penetration'!E45=0,0,1000*E45*'Market Data'!$E$51/('Market Penetration'!E45*'Market Data'!$C$51))</f>
        <v>124021.27587058033</v>
      </c>
      <c r="AB45" s="479">
        <f>IF('Market Penetration'!F45=0,0,1000*F45*'Market Data'!$E$51/('Market Penetration'!F45*'Market Data'!$C$51))</f>
        <v>143674.91636210261</v>
      </c>
      <c r="AC45" s="790">
        <f>IF('Market Penetration'!G45=0,0,1000*G45*'Market Data'!$E$51/('Market Penetration'!G45*'Market Data'!$C$51))</f>
        <v>120604.29398985575</v>
      </c>
      <c r="AD45" s="478">
        <f>IF('Market Penetration'!H45=0,0,1000*H45*'Market Data'!$O$51/('Market Penetration'!H45*'Market Data'!$M$51))</f>
        <v>36032.128464588495</v>
      </c>
      <c r="AE45" s="479">
        <f>IF('Market Penetration'!I45=0,0,1000*I45*'Market Data'!$O$51/('Market Penetration'!I45*'Market Data'!$M$51))</f>
        <v>91635.978893264735</v>
      </c>
      <c r="AF45" s="479">
        <f>IF('Market Penetration'!J45=0,0,1000*J45*'Market Data'!$O$51/('Market Penetration'!J45*'Market Data'!$M$51))</f>
        <v>91642.985474855901</v>
      </c>
      <c r="AG45" s="479">
        <f>IF('Market Penetration'!K45=0,0,1000*K45*'Market Data'!$O$51/('Market Penetration'!K45*'Market Data'!$M$51))</f>
        <v>103893.5461960269</v>
      </c>
      <c r="AH45" s="479">
        <f>IF('Market Penetration'!L45=0,0,1000*L45*'Market Data'!$O$51/('Market Penetration'!L45*'Market Data'!$M$51))</f>
        <v>51373.115367024613</v>
      </c>
      <c r="AI45" s="480">
        <f>IF('Market Penetration'!M45=0,0,1000*M45*'Market Data'!$O$51/('Market Penetration'!M45*'Market Data'!$M$51))</f>
        <v>89403.489285866221</v>
      </c>
      <c r="AJ45" s="478">
        <f>IF('Market Penetration'!N45=0,0,1000*N45*'Market Data'!$Y$51/('Market Penetration'!N45*'Market Data'!$W$51))</f>
        <v>17389.134421167142</v>
      </c>
      <c r="AK45" s="479">
        <f>IF('Market Penetration'!O45=0,0,1000*O45*'Market Data'!$Y$51/('Market Penetration'!O45*'Market Data'!$W$51))</f>
        <v>42655.672554303943</v>
      </c>
      <c r="AL45" s="479">
        <f>IF('Market Penetration'!P45=0,0,1000*P45*'Market Data'!$Y$51/('Market Penetration'!P45*'Market Data'!$W$51))</f>
        <v>38257.259618978809</v>
      </c>
      <c r="AM45" s="795">
        <f>IF('Market Penetration'!Q45=0,0,1000*Q45*'Market Data'!$Y$51/('Market Penetration'!Q45*'Market Data'!$W$51))</f>
        <v>47232.82092653383</v>
      </c>
      <c r="AN45" s="479">
        <f>IF('Market Penetration'!R45=0,0,1000*R45*'Market Data'!$Y$51/('Market Penetration'!R45*'Market Data'!$W$51))</f>
        <v>63428.17189599439</v>
      </c>
      <c r="AO45" s="790">
        <f>IF('Market Penetration'!S45=0,0,1000*S45*'Market Data'!$Y$51/('Market Penetration'!S45*'Market Data'!$W$51))</f>
        <v>55379.874197905337</v>
      </c>
      <c r="AP45" s="478">
        <f>IF('Market Penetration'!T45=0,0,1000*T45*('Market Data'!$E$51+'Market Data'!$O$51+'Market Data'!$Y$51)/('Market Penetration'!T45*('Market Data'!$C$51+'Market Data'!$M$51+'Market Data'!$W$51)))</f>
        <v>18020.448143748843</v>
      </c>
      <c r="AQ45" s="480">
        <f>IF('Market Penetration'!U45=0,0,1000*U45*('Market Data'!$E$51+'Market Data'!$O$51+'Market Data'!$Y$51)/('Market Penetration'!U45*('Market Data'!$C$51+'Market Data'!$M$51+'Market Data'!$W$51)))</f>
        <v>98248.792899541848</v>
      </c>
    </row>
    <row r="46" spans="1:43" ht="15" x14ac:dyDescent="0.25">
      <c r="A46" s="421">
        <v>2044</v>
      </c>
      <c r="B46" s="441">
        <f t="shared" si="12"/>
        <v>1.8286926984698804E-2</v>
      </c>
      <c r="C46" s="442">
        <f>'7&amp;8 Sleep'!$M113+'7&amp;8 Sleep'!$Z113</f>
        <v>0.30844577286276931</v>
      </c>
      <c r="D46" s="442">
        <f>'7&amp;8 Sleep'!$M165+'7&amp;8 Sleep'!$Z165</f>
        <v>0.30662177254832956</v>
      </c>
      <c r="E46" s="800">
        <f>'7&amp;8 Sleep'!$M217+'7&amp;8 Sleep'!$Z217</f>
        <v>0.23118103144852423</v>
      </c>
      <c r="F46" s="442">
        <f>'7&amp;8 Sleep'!$M270+'7&amp;8 Sleep'!$Z270</f>
        <v>8.126245354275638E-2</v>
      </c>
      <c r="G46" s="758">
        <f>'7&amp;8 Sleep'!$M323+'7&amp;8 Sleep'!$Z323</f>
        <v>5.4202042612921754E-2</v>
      </c>
      <c r="H46" s="959">
        <f t="shared" si="13"/>
        <v>0.11545351993048047</v>
      </c>
      <c r="I46" s="758">
        <f>'7&amp;8 Day'!$M113+'7&amp;8 Day'!$Z113</f>
        <v>0.25806067115969794</v>
      </c>
      <c r="J46" s="758">
        <f>'7&amp;8 Day'!$M165+'7&amp;8 Day'!$Z165</f>
        <v>0.25760698680732552</v>
      </c>
      <c r="K46" s="758">
        <f>'7&amp;8 Day'!$M217+'7&amp;8 Day'!$Z217</f>
        <v>0.19861186114880094</v>
      </c>
      <c r="L46" s="758">
        <f>'7&amp;8 Day'!$M270+'7&amp;8 Day'!$Z270</f>
        <v>6.2986903646180294E-3</v>
      </c>
      <c r="M46" s="805">
        <f>'7&amp;8 Day'!$M323+'7&amp;8 Day'!$Z323</f>
        <v>0.16396827058907715</v>
      </c>
      <c r="N46" s="441">
        <f t="shared" si="14"/>
        <v>0.39824792811960574</v>
      </c>
      <c r="O46" s="442">
        <f>'7&amp;8 SU'!$M113+'7&amp;8 SU'!$Z113</f>
        <v>0.15933407651758474</v>
      </c>
      <c r="P46" s="442">
        <f>'7&amp;8 SU'!$M165+'7&amp;8 SU'!$Z165</f>
        <v>0.2175565787457574</v>
      </c>
      <c r="Q46" s="800">
        <f>'7&amp;8 SU'!$M217+'7&amp;8 SU'!$Z217</f>
        <v>0.11648303305867477</v>
      </c>
      <c r="R46" s="442">
        <f>'7&amp;8 SU'!$M270+'7&amp;8 SU'!$Z270</f>
        <v>7.0649536528436169E-2</v>
      </c>
      <c r="S46" s="758">
        <f>'7&amp;8 SU'!$M323+'7&amp;8 SU'!$Z323</f>
        <v>3.772884702994117E-2</v>
      </c>
      <c r="T46" s="441">
        <f>B46*'Market Data'!$E$52+H46*'Market Data'!$O$52+N46*+N46*'Market Data'!$Y$52</f>
        <v>5.4373961563450195E-2</v>
      </c>
      <c r="U46" s="443">
        <f>SUM(C46:G46)*'Market Data'!$E$52+SUM(I46:M46)*'Market Data'!$O$52+SUM(O46:S46)*+N46*'Market Data'!$Y$52</f>
        <v>0.89166187104831574</v>
      </c>
      <c r="W46" s="421">
        <v>2044</v>
      </c>
      <c r="X46" s="478">
        <f>IF('Market Penetration'!B46=0,0,1000*B46*'Market Data'!$E$51/('Market Penetration'!B46*'Market Data'!$C$51))</f>
        <v>39130.356526803225</v>
      </c>
      <c r="Y46" s="479">
        <f>IF('Market Penetration'!C46=0,0,1000*C46*'Market Data'!$E$51/('Market Penetration'!C46*'Market Data'!$C$51))</f>
        <v>114503.6629196407</v>
      </c>
      <c r="Z46" s="479">
        <f>IF('Market Penetration'!D46=0,0,1000*D46*'Market Data'!$E$51/('Market Penetration'!D46*'Market Data'!$C$51))</f>
        <v>115223.53254616749</v>
      </c>
      <c r="AA46" s="795">
        <f>IF('Market Penetration'!E46=0,0,1000*E46*'Market Data'!$E$51/('Market Penetration'!E46*'Market Data'!$C$51))</f>
        <v>124189.29505987938</v>
      </c>
      <c r="AB46" s="479">
        <f>IF('Market Penetration'!F46=0,0,1000*F46*'Market Data'!$E$51/('Market Penetration'!F46*'Market Data'!$C$51))</f>
        <v>133651.8378622242</v>
      </c>
      <c r="AC46" s="790">
        <f>IF('Market Penetration'!G46=0,0,1000*G46*'Market Data'!$E$51/('Market Penetration'!G46*'Market Data'!$C$51))</f>
        <v>118369.91099000696</v>
      </c>
      <c r="AD46" s="478">
        <f>IF('Market Penetration'!H46=0,0,1000*H46*'Market Data'!$O$51/('Market Penetration'!H46*'Market Data'!$M$51))</f>
        <v>34619.397381493123</v>
      </c>
      <c r="AE46" s="479">
        <f>IF('Market Penetration'!I46=0,0,1000*I46*'Market Data'!$O$51/('Market Penetration'!I46*'Market Data'!$M$51))</f>
        <v>92399.475558789229</v>
      </c>
      <c r="AF46" s="479">
        <f>IF('Market Penetration'!J46=0,0,1000*J46*'Market Data'!$O$51/('Market Penetration'!J46*'Market Data'!$M$51))</f>
        <v>92613.712843971181</v>
      </c>
      <c r="AG46" s="479">
        <f>IF('Market Penetration'!K46=0,0,1000*K46*'Market Data'!$O$51/('Market Penetration'!K46*'Market Data'!$M$51))</f>
        <v>97793.0356795056</v>
      </c>
      <c r="AH46" s="479">
        <f>IF('Market Penetration'!L46=0,0,1000*L46*'Market Data'!$O$51/('Market Penetration'!L46*'Market Data'!$M$51))</f>
        <v>50213.676846359529</v>
      </c>
      <c r="AI46" s="480">
        <f>IF('Market Penetration'!M46=0,0,1000*M46*'Market Data'!$O$51/('Market Penetration'!M46*'Market Data'!$M$51))</f>
        <v>85228.79758610719</v>
      </c>
      <c r="AJ46" s="478">
        <f>IF('Market Penetration'!N46=0,0,1000*N46*'Market Data'!$Y$51/('Market Penetration'!N46*'Market Data'!$W$51))</f>
        <v>17458.10707237279</v>
      </c>
      <c r="AK46" s="479">
        <f>IF('Market Penetration'!O46=0,0,1000*O46*'Market Data'!$Y$51/('Market Penetration'!O46*'Market Data'!$W$51))</f>
        <v>42814.081981264782</v>
      </c>
      <c r="AL46" s="479">
        <f>IF('Market Penetration'!P46=0,0,1000*P46*'Market Data'!$Y$51/('Market Penetration'!P46*'Market Data'!$W$51))</f>
        <v>38282.36721138288</v>
      </c>
      <c r="AM46" s="795">
        <f>IF('Market Penetration'!Q46=0,0,1000*Q46*'Market Data'!$Y$51/('Market Penetration'!Q46*'Market Data'!$W$51))</f>
        <v>48110.619883646264</v>
      </c>
      <c r="AN46" s="479">
        <f>IF('Market Penetration'!R46=0,0,1000*R46*'Market Data'!$Y$51/('Market Penetration'!R46*'Market Data'!$W$51))</f>
        <v>55303.229341943435</v>
      </c>
      <c r="AO46" s="790">
        <f>IF('Market Penetration'!S46=0,0,1000*S46*'Market Data'!$Y$51/('Market Penetration'!S46*'Market Data'!$W$51))</f>
        <v>49148.164744346381</v>
      </c>
      <c r="AP46" s="478">
        <f>IF('Market Penetration'!T46=0,0,1000*T46*('Market Data'!$E$51+'Market Data'!$O$51+'Market Data'!$Y$51)/('Market Penetration'!T46*('Market Data'!$C$51+'Market Data'!$M$51+'Market Data'!$W$51)))</f>
        <v>17180.92786392117</v>
      </c>
      <c r="AQ46" s="480">
        <f>IF('Market Penetration'!U46=0,0,1000*U46*('Market Data'!$E$51+'Market Data'!$O$51+'Market Data'!$Y$51)/('Market Penetration'!U46*('Market Data'!$C$51+'Market Data'!$M$51+'Market Data'!$W$51)))</f>
        <v>97818.959693695273</v>
      </c>
    </row>
    <row r="47" spans="1:43" ht="15" x14ac:dyDescent="0.25">
      <c r="A47" s="420">
        <v>2045</v>
      </c>
      <c r="B47" s="444">
        <f t="shared" si="12"/>
        <v>1.8286925705627177E-2</v>
      </c>
      <c r="C47" s="445">
        <f>'7&amp;8 Sleep'!$M114+'7&amp;8 Sleep'!$Z114</f>
        <v>0.29511064624580796</v>
      </c>
      <c r="D47" s="445">
        <f>'7&amp;8 Sleep'!$M166+'7&amp;8 Sleep'!$Z166</f>
        <v>0.29336242746917174</v>
      </c>
      <c r="E47" s="801">
        <f>'7&amp;8 Sleep'!$M218+'7&amp;8 Sleep'!$Z218</f>
        <v>0.22291098453203495</v>
      </c>
      <c r="F47" s="445">
        <f>'7&amp;8 Sleep'!$M271+'7&amp;8 Sleep'!$Z271</f>
        <v>0.11331804885289989</v>
      </c>
      <c r="G47" s="759">
        <f>'7&amp;8 Sleep'!$M324+'7&amp;8 Sleep'!$Z324</f>
        <v>5.7010967194458292E-2</v>
      </c>
      <c r="H47" s="960">
        <f t="shared" si="13"/>
        <v>0.1017243609207471</v>
      </c>
      <c r="I47" s="759">
        <f>'7&amp;8 Day'!$M114+'7&amp;8 Day'!$Z114</f>
        <v>0.25278863440525723</v>
      </c>
      <c r="J47" s="759">
        <f>'7&amp;8 Day'!$M166+'7&amp;8 Day'!$Z166</f>
        <v>0.25234320838094193</v>
      </c>
      <c r="K47" s="759">
        <f>'7&amp;8 Day'!$M218+'7&amp;8 Day'!$Z218</f>
        <v>0.2136326235119477</v>
      </c>
      <c r="L47" s="759">
        <f>'7&amp;8 Day'!$M271+'7&amp;8 Day'!$Z271</f>
        <v>1.197079257469055E-2</v>
      </c>
      <c r="M47" s="806">
        <f>'7&amp;8 Day'!$M324+'7&amp;8 Day'!$Z324</f>
        <v>0.16754038020641551</v>
      </c>
      <c r="N47" s="444">
        <f t="shared" si="14"/>
        <v>0.39577295667430146</v>
      </c>
      <c r="O47" s="445">
        <f>'7&amp;8 SU'!$M114+'7&amp;8 SU'!$Z114</f>
        <v>0.15061393920137089</v>
      </c>
      <c r="P47" s="445">
        <f>'7&amp;8 SU'!$M166+'7&amp;8 SU'!$Z166</f>
        <v>0.20495745537132187</v>
      </c>
      <c r="Q47" s="801">
        <f>'7&amp;8 SU'!$M218+'7&amp;8 SU'!$Z218</f>
        <v>0.11098306832024024</v>
      </c>
      <c r="R47" s="445">
        <f>'7&amp;8 SU'!$M271+'7&amp;8 SU'!$Z271</f>
        <v>8.4305082585397012E-2</v>
      </c>
      <c r="S47" s="759">
        <f>'7&amp;8 SU'!$M324+'7&amp;8 SU'!$Z324</f>
        <v>5.3367497847368453E-2</v>
      </c>
      <c r="T47" s="444">
        <f>B47*'Market Data'!$E$52+H47*'Market Data'!$O$52+N47*+N47*'Market Data'!$Y$52</f>
        <v>5.0876748116851452E-2</v>
      </c>
      <c r="U47" s="446">
        <f>SUM(C47:G47)*'Market Data'!$E$52+SUM(I47:M47)*'Market Data'!$O$52+SUM(O47:S47)*+N47*'Market Data'!$Y$52</f>
        <v>0.89493713299761724</v>
      </c>
      <c r="W47" s="420">
        <v>2045</v>
      </c>
      <c r="X47" s="481">
        <f>IF('Market Penetration'!B47=0,0,1000*B47*'Market Data'!$E$51/('Market Penetration'!B47*'Market Data'!$C$51))</f>
        <v>39130.354693388843</v>
      </c>
      <c r="Y47" s="482">
        <f>IF('Market Penetration'!C47=0,0,1000*C47*'Market Data'!$E$51/('Market Penetration'!C47*'Market Data'!$C$51))</f>
        <v>114623.08397547225</v>
      </c>
      <c r="Z47" s="482">
        <f>IF('Market Penetration'!D47=0,0,1000*D47*'Market Data'!$E$51/('Market Penetration'!D47*'Market Data'!$C$51))</f>
        <v>115367.71238320629</v>
      </c>
      <c r="AA47" s="796">
        <f>IF('Market Penetration'!E47=0,0,1000*E47*'Market Data'!$E$51/('Market Penetration'!E47*'Market Data'!$C$51))</f>
        <v>124331.42130172392</v>
      </c>
      <c r="AB47" s="482">
        <f>IF('Market Penetration'!F47=0,0,1000*F47*'Market Data'!$E$51/('Market Penetration'!F47*'Market Data'!$C$51))</f>
        <v>128026.00893608081</v>
      </c>
      <c r="AC47" s="791">
        <f>IF('Market Penetration'!G47=0,0,1000*G47*'Market Data'!$E$51/('Market Penetration'!G47*'Market Data'!$C$51))</f>
        <v>117101.98027213819</v>
      </c>
      <c r="AD47" s="481">
        <f>IF('Market Penetration'!H47=0,0,1000*H47*'Market Data'!$O$51/('Market Penetration'!H47*'Market Data'!$M$51))</f>
        <v>33794.019885266105</v>
      </c>
      <c r="AE47" s="482">
        <f>IF('Market Penetration'!I47=0,0,1000*I47*'Market Data'!$O$51/('Market Penetration'!I47*'Market Data'!$M$51))</f>
        <v>93151.748081072132</v>
      </c>
      <c r="AF47" s="482">
        <f>IF('Market Penetration'!J47=0,0,1000*J47*'Market Data'!$O$51/('Market Penetration'!J47*'Market Data'!$M$51))</f>
        <v>93370.917757796924</v>
      </c>
      <c r="AG47" s="482">
        <f>IF('Market Penetration'!K47=0,0,1000*K47*'Market Data'!$O$51/('Market Penetration'!K47*'Market Data'!$M$51))</f>
        <v>93237.763951144996</v>
      </c>
      <c r="AH47" s="482">
        <f>IF('Market Penetration'!L47=0,0,1000*L47*'Market Data'!$O$51/('Market Penetration'!L47*'Market Data'!$M$51))</f>
        <v>47954.076717696844</v>
      </c>
      <c r="AI47" s="483">
        <f>IF('Market Penetration'!M47=0,0,1000*M47*'Market Data'!$O$51/('Market Penetration'!M47*'Market Data'!$M$51))</f>
        <v>82849.22980833023</v>
      </c>
      <c r="AJ47" s="481">
        <f>IF('Market Penetration'!N47=0,0,1000*N47*'Market Data'!$Y$51/('Market Penetration'!N47*'Market Data'!$W$51))</f>
        <v>17389.134211641602</v>
      </c>
      <c r="AK47" s="482">
        <f>IF('Market Penetration'!O47=0,0,1000*O47*'Market Data'!$Y$51/('Market Penetration'!O47*'Market Data'!$W$51))</f>
        <v>43457.5294538163</v>
      </c>
      <c r="AL47" s="482">
        <f>IF('Market Penetration'!P47=0,0,1000*P47*'Market Data'!$Y$51/('Market Penetration'!P47*'Market Data'!$W$51))</f>
        <v>38760.010192878144</v>
      </c>
      <c r="AM47" s="796">
        <f>IF('Market Penetration'!Q47=0,0,1000*Q47*'Market Data'!$Y$51/('Market Penetration'!Q47*'Market Data'!$W$51))</f>
        <v>48885.93462169831</v>
      </c>
      <c r="AN47" s="482">
        <f>IF('Market Penetration'!R47=0,0,1000*R47*'Market Data'!$Y$51/('Market Penetration'!R47*'Market Data'!$W$51))</f>
        <v>49861.978185742671</v>
      </c>
      <c r="AO47" s="791">
        <f>IF('Market Penetration'!S47=0,0,1000*S47*'Market Data'!$Y$51/('Market Penetration'!S47*'Market Data'!$W$51))</f>
        <v>44179.123345352156</v>
      </c>
      <c r="AP47" s="481">
        <f>IF('Market Penetration'!T47=0,0,1000*T47*('Market Data'!$E$51+'Market Data'!$O$51+'Market Data'!$Y$51)/('Market Penetration'!T47*('Market Data'!$C$51+'Market Data'!$M$51+'Market Data'!$W$51)))</f>
        <v>16510.020533263913</v>
      </c>
      <c r="AQ47" s="483">
        <f>IF('Market Penetration'!U47=0,0,1000*U47*('Market Data'!$E$51+'Market Data'!$O$51+'Market Data'!$Y$51)/('Market Penetration'!U47*('Market Data'!$C$51+'Market Data'!$M$51+'Market Data'!$W$51)))</f>
        <v>97290.070880132669</v>
      </c>
    </row>
    <row r="48" spans="1:43" ht="15" x14ac:dyDescent="0.25">
      <c r="A48" s="421">
        <v>2046</v>
      </c>
      <c r="B48" s="448">
        <f t="shared" si="12"/>
        <v>1.8414824772568283E-2</v>
      </c>
      <c r="C48" s="449">
        <f>'7&amp;8 Sleep'!$M115+'7&amp;8 Sleep'!$Z115</f>
        <v>0.28890107688242855</v>
      </c>
      <c r="D48" s="449">
        <f>'7&amp;8 Sleep'!$M167+'7&amp;8 Sleep'!$Z167</f>
        <v>0.28723807293704784</v>
      </c>
      <c r="E48" s="802">
        <f>'7&amp;8 Sleep'!$M219+'7&amp;8 Sleep'!$Z219</f>
        <v>0.21549958090282487</v>
      </c>
      <c r="F48" s="449">
        <f>'7&amp;8 Sleep'!$M272+'7&amp;8 Sleep'!$Z272</f>
        <v>0.13035851958416092</v>
      </c>
      <c r="G48" s="760">
        <f>'7&amp;8 Sleep'!$M325+'7&amp;8 Sleep'!$Z325</f>
        <v>5.9587924920969627E-2</v>
      </c>
      <c r="H48" s="961">
        <f t="shared" si="13"/>
        <v>9.2580015042425634E-2</v>
      </c>
      <c r="I48" s="760">
        <f>'7&amp;8 Day'!$M115+'7&amp;8 Day'!$Z115</f>
        <v>0.24931776923060164</v>
      </c>
      <c r="J48" s="760">
        <f>'7&amp;8 Day'!$M167+'7&amp;8 Day'!$Z167</f>
        <v>0.24899843093670521</v>
      </c>
      <c r="K48" s="760">
        <f>'7&amp;8 Day'!$M219+'7&amp;8 Day'!$Z219</f>
        <v>0.22283365957151119</v>
      </c>
      <c r="L48" s="760">
        <f>'7&amp;8 Day'!$M272+'7&amp;8 Day'!$Z272</f>
        <v>1.613079643371388E-2</v>
      </c>
      <c r="M48" s="807">
        <f>'7&amp;8 Day'!$M325+'7&amp;8 Day'!$Z325</f>
        <v>0.17013932878504257</v>
      </c>
      <c r="N48" s="448">
        <f t="shared" si="14"/>
        <v>0.40061819059297687</v>
      </c>
      <c r="O48" s="449">
        <f>'7&amp;8 SU'!$M115+'7&amp;8 SU'!$Z115</f>
        <v>0.14414860450564132</v>
      </c>
      <c r="P48" s="449">
        <f>'7&amp;8 SU'!$M167+'7&amp;8 SU'!$Z167</f>
        <v>0.19487286900980139</v>
      </c>
      <c r="Q48" s="802">
        <f>'7&amp;8 SU'!$M219+'7&amp;8 SU'!$Z219</f>
        <v>0.10724822145679017</v>
      </c>
      <c r="R48" s="449">
        <f>'7&amp;8 SU'!$M272+'7&amp;8 SU'!$Z272</f>
        <v>9.0870642276486266E-2</v>
      </c>
      <c r="S48" s="760">
        <f>'7&amp;8 SU'!$M325+'7&amp;8 SU'!$Z325</f>
        <v>6.224147215830405E-2</v>
      </c>
      <c r="T48" s="451">
        <f>B48*'Market Data'!$E$52+H48*'Market Data'!$O$52+N48*+N48*'Market Data'!$Y$52</f>
        <v>4.9096334521891868E-2</v>
      </c>
      <c r="U48" s="452">
        <f>SUM(C48:G48)*'Market Data'!$E$52+SUM(I48:M48)*'Market Data'!$O$52+SUM(O48:S48)*+N48*'Market Data'!$Y$52</f>
        <v>0.89715205945333931</v>
      </c>
      <c r="W48" s="421">
        <v>2046</v>
      </c>
      <c r="X48" s="484">
        <f>IF('Market Penetration'!B48=0,0,1000*B48*'Market Data'!$E$51/('Market Penetration'!B48*'Market Data'!$C$51))</f>
        <v>39194.121798840446</v>
      </c>
      <c r="Y48" s="485">
        <f>IF('Market Penetration'!C48=0,0,1000*C48*'Market Data'!$E$51/('Market Penetration'!C48*'Market Data'!$C$51))</f>
        <v>114772.78923168765</v>
      </c>
      <c r="Z48" s="485">
        <f>IF('Market Penetration'!D48=0,0,1000*D48*'Market Data'!$E$51/('Market Penetration'!D48*'Market Data'!$C$51))</f>
        <v>115505.33564703359</v>
      </c>
      <c r="AA48" s="797">
        <f>IF('Market Penetration'!E48=0,0,1000*E48*'Market Data'!$E$51/('Market Penetration'!E48*'Market Data'!$C$51))</f>
        <v>124744.7469234848</v>
      </c>
      <c r="AB48" s="485">
        <f>IF('Market Penetration'!F48=0,0,1000*F48*'Market Data'!$E$51/('Market Penetration'!F48*'Market Data'!$C$51))</f>
        <v>125490.65565902845</v>
      </c>
      <c r="AC48" s="792">
        <f>IF('Market Penetration'!G48=0,0,1000*G48*'Market Data'!$E$51/('Market Penetration'!G48*'Market Data'!$C$51))</f>
        <v>116944.73608384046</v>
      </c>
      <c r="AD48" s="484">
        <f>IF('Market Penetration'!H48=0,0,1000*H48*'Market Data'!$O$51/('Market Penetration'!H48*'Market Data'!$M$51))</f>
        <v>33252.397991138001</v>
      </c>
      <c r="AE48" s="485">
        <f>IF('Market Penetration'!I48=0,0,1000*I48*'Market Data'!$O$51/('Market Penetration'!I48*'Market Data'!$M$51))</f>
        <v>93621.749836408402</v>
      </c>
      <c r="AF48" s="485">
        <f>IF('Market Penetration'!J48=0,0,1000*J48*'Market Data'!$O$51/('Market Penetration'!J48*'Market Data'!$M$51))</f>
        <v>93774.81101893849</v>
      </c>
      <c r="AG48" s="485">
        <f>IF('Market Penetration'!K48=0,0,1000*K48*'Market Data'!$O$51/('Market Penetration'!K48*'Market Data'!$M$51))</f>
        <v>90836.289910981897</v>
      </c>
      <c r="AH48" s="485">
        <f>IF('Market Penetration'!L48=0,0,1000*L48*'Market Data'!$O$51/('Market Penetration'!L48*'Market Data'!$M$51))</f>
        <v>45825.230422160821</v>
      </c>
      <c r="AI48" s="966">
        <f>IF('Market Penetration'!M48=0,0,1000*M48*'Market Data'!$O$51/('Market Penetration'!M48*'Market Data'!$M$51))</f>
        <v>81720.681273827679</v>
      </c>
      <c r="AJ48" s="484">
        <f>IF('Market Penetration'!N48=0,0,1000*N48*'Market Data'!$Y$51/('Market Penetration'!N48*'Market Data'!$W$51))</f>
        <v>17515.31686540947</v>
      </c>
      <c r="AK48" s="485">
        <f>IF('Market Penetration'!O48=0,0,1000*O48*'Market Data'!$Y$51/('Market Penetration'!O48*'Market Data'!$W$51))</f>
        <v>43848.069796028482</v>
      </c>
      <c r="AL48" s="485">
        <f>IF('Market Penetration'!P48=0,0,1000*P48*'Market Data'!$Y$51/('Market Penetration'!P48*'Market Data'!$W$51))</f>
        <v>39073.075356311259</v>
      </c>
      <c r="AM48" s="797">
        <f>IF('Market Penetration'!Q48=0,0,1000*Q48*'Market Data'!$Y$51/('Market Penetration'!Q48*'Market Data'!$W$51))</f>
        <v>49411.19377320174</v>
      </c>
      <c r="AN48" s="485">
        <f>IF('Market Penetration'!R48=0,0,1000*R48*'Market Data'!$Y$51/('Market Penetration'!R48*'Market Data'!$W$51))</f>
        <v>48306.652370890122</v>
      </c>
      <c r="AO48" s="792">
        <f>IF('Market Penetration'!S48=0,0,1000*S48*'Market Data'!$Y$51/('Market Penetration'!S48*'Market Data'!$W$51))</f>
        <v>41956.80575060533</v>
      </c>
      <c r="AP48" s="486">
        <f>IF('Market Penetration'!T48=0,0,1000*T48*('Market Data'!$E$51+'Market Data'!$O$51+'Market Data'!$Y$51)/('Market Penetration'!T48*('Market Data'!$C$51+'Market Data'!$M$51+'Market Data'!$W$51)))</f>
        <v>16157.102748030957</v>
      </c>
      <c r="AQ48" s="487">
        <f>IF('Market Penetration'!U48=0,0,1000*U48*('Market Data'!$E$51+'Market Data'!$O$51+'Market Data'!$Y$51)/('Market Penetration'!U48*('Market Data'!$C$51+'Market Data'!$M$51+'Market Data'!$W$51)))</f>
        <v>97078.286222702271</v>
      </c>
    </row>
    <row r="49" spans="1:43" ht="15" x14ac:dyDescent="0.25">
      <c r="A49" s="421">
        <v>2047</v>
      </c>
      <c r="B49" s="441">
        <f t="shared" si="12"/>
        <v>1.861080312682728E-2</v>
      </c>
      <c r="C49" s="442">
        <f>'7&amp;8 Sleep'!$M116+'7&amp;8 Sleep'!$Z116</f>
        <v>0.28330162824438854</v>
      </c>
      <c r="D49" s="442">
        <f>'7&amp;8 Sleep'!$M168+'7&amp;8 Sleep'!$Z168</f>
        <v>0.28177400013520804</v>
      </c>
      <c r="E49" s="800">
        <f>'7&amp;8 Sleep'!$M220+'7&amp;8 Sleep'!$Z220</f>
        <v>0.21116320273680539</v>
      </c>
      <c r="F49" s="442">
        <f>'7&amp;8 Sleep'!$M273+'7&amp;8 Sleep'!$Z273</f>
        <v>0.14156193477573695</v>
      </c>
      <c r="G49" s="758">
        <f>'7&amp;8 Sleep'!$M326+'7&amp;8 Sleep'!$Z326</f>
        <v>6.3588430981033783E-2</v>
      </c>
      <c r="H49" s="959">
        <f t="shared" si="13"/>
        <v>8.7059050034345997E-2</v>
      </c>
      <c r="I49" s="758">
        <f>'7&amp;8 Day'!$M116+'7&amp;8 Day'!$Z116</f>
        <v>0.24700836838170276</v>
      </c>
      <c r="J49" s="758">
        <f>'7&amp;8 Day'!$M168+'7&amp;8 Day'!$Z168</f>
        <v>0.24656318337781008</v>
      </c>
      <c r="K49" s="758">
        <f>'7&amp;8 Day'!$M220+'7&amp;8 Day'!$Z220</f>
        <v>0.22726747567654654</v>
      </c>
      <c r="L49" s="758">
        <f>'7&amp;8 Day'!$M273+'7&amp;8 Day'!$Z273</f>
        <v>1.9292105166084993E-2</v>
      </c>
      <c r="M49" s="805">
        <f>'7&amp;8 Day'!$M326+'7&amp;8 Day'!$Z326</f>
        <v>0.17280981736350959</v>
      </c>
      <c r="N49" s="441">
        <f t="shared" si="14"/>
        <v>0.40947485779287496</v>
      </c>
      <c r="O49" s="442">
        <f>'7&amp;8 SU'!$M116+'7&amp;8 SU'!$Z116</f>
        <v>0.13960203775414198</v>
      </c>
      <c r="P49" s="442">
        <f>'7&amp;8 SU'!$M168+'7&amp;8 SU'!$Z168</f>
        <v>0.18421810791955118</v>
      </c>
      <c r="Q49" s="800">
        <f>'7&amp;8 SU'!$M220+'7&amp;8 SU'!$Z220</f>
        <v>0.10360812371265507</v>
      </c>
      <c r="R49" s="442">
        <f>'7&amp;8 SU'!$M273+'7&amp;8 SU'!$Z273</f>
        <v>9.4740731178091092E-2</v>
      </c>
      <c r="S49" s="758">
        <f>'7&amp;8 SU'!$M326+'7&amp;8 SU'!$Z326</f>
        <v>6.8356141642685622E-2</v>
      </c>
      <c r="T49" s="441">
        <f>B49*'Market Data'!$E$52+H49*'Market Data'!$O$52+N49*+N49*'Market Data'!$Y$52</f>
        <v>4.8535270882109793E-2</v>
      </c>
      <c r="U49" s="443">
        <f>SUM(C49:G49)*'Market Data'!$E$52+SUM(I49:M49)*'Market Data'!$O$52+SUM(O49:S49)*+N49*'Market Data'!$Y$52</f>
        <v>0.89850737490148447</v>
      </c>
      <c r="W49" s="421">
        <v>2047</v>
      </c>
      <c r="X49" s="478">
        <f>IF('Market Penetration'!B49=0,0,1000*B49*'Market Data'!$E$51/('Market Penetration'!B49*'Market Data'!$C$51))</f>
        <v>39031.38887532473</v>
      </c>
      <c r="Y49" s="479">
        <f>IF('Market Penetration'!C49=0,0,1000*C49*'Market Data'!$E$51/('Market Penetration'!C49*'Market Data'!$C$51))</f>
        <v>115020.1502990898</v>
      </c>
      <c r="Z49" s="479">
        <f>IF('Market Penetration'!D49=0,0,1000*D49*'Market Data'!$E$51/('Market Penetration'!D49*'Market Data'!$C$51))</f>
        <v>115629.78052810077</v>
      </c>
      <c r="AA49" s="795">
        <f>IF('Market Penetration'!E49=0,0,1000*E49*'Market Data'!$E$51/('Market Penetration'!E49*'Market Data'!$C$51))</f>
        <v>124886.07638546756</v>
      </c>
      <c r="AB49" s="479">
        <f>IF('Market Penetration'!F49=0,0,1000*F49*'Market Data'!$E$51/('Market Penetration'!F49*'Market Data'!$C$51))</f>
        <v>124564.36089654472</v>
      </c>
      <c r="AC49" s="790">
        <f>IF('Market Penetration'!G49=0,0,1000*G49*'Market Data'!$E$51/('Market Penetration'!G49*'Market Data'!$C$51))</f>
        <v>116548.05982225464</v>
      </c>
      <c r="AD49" s="478">
        <f>IF('Market Penetration'!H49=0,0,1000*H49*'Market Data'!$O$51/('Market Penetration'!H49*'Market Data'!$M$51))</f>
        <v>33156.767428885665</v>
      </c>
      <c r="AE49" s="479">
        <f>IF('Market Penetration'!I49=0,0,1000*I49*'Market Data'!$O$51/('Market Penetration'!I49*'Market Data'!$M$51))</f>
        <v>93962.061661542</v>
      </c>
      <c r="AF49" s="479">
        <f>IF('Market Penetration'!J49=0,0,1000*J49*'Market Data'!$O$51/('Market Penetration'!J49*'Market Data'!$M$51))</f>
        <v>93945.283121445362</v>
      </c>
      <c r="AG49" s="479">
        <f>IF('Market Penetration'!K49=0,0,1000*K49*'Market Data'!$O$51/('Market Penetration'!K49*'Market Data'!$M$51))</f>
        <v>89383.435061565353</v>
      </c>
      <c r="AH49" s="479">
        <f>IF('Market Penetration'!L49=0,0,1000*L49*'Market Data'!$O$51/('Market Penetration'!L49*'Market Data'!$M$51))</f>
        <v>44623.140716812435</v>
      </c>
      <c r="AI49" s="480">
        <f>IF('Market Penetration'!M49=0,0,1000*M49*'Market Data'!$O$51/('Market Penetration'!M49*'Market Data'!$M$51))</f>
        <v>80918.609296833572</v>
      </c>
      <c r="AJ49" s="478">
        <f>IF('Market Penetration'!N49=0,0,1000*N49*'Market Data'!$Y$51/('Market Penetration'!N49*'Market Data'!$W$51))</f>
        <v>17664.428546122595</v>
      </c>
      <c r="AK49" s="479">
        <f>IF('Market Penetration'!O49=0,0,1000*O49*'Market Data'!$Y$51/('Market Penetration'!O49*'Market Data'!$W$51))</f>
        <v>44413.440194891802</v>
      </c>
      <c r="AL49" s="479">
        <f>IF('Market Penetration'!P49=0,0,1000*P49*'Market Data'!$Y$51/('Market Penetration'!P49*'Market Data'!$W$51))</f>
        <v>39765.637645477371</v>
      </c>
      <c r="AM49" s="795">
        <f>IF('Market Penetration'!Q49=0,0,1000*Q49*'Market Data'!$Y$51/('Market Penetration'!Q49*'Market Data'!$W$51))</f>
        <v>50396.182863282789</v>
      </c>
      <c r="AN49" s="479">
        <f>IF('Market Penetration'!R49=0,0,1000*R49*'Market Data'!$Y$51/('Market Penetration'!R49*'Market Data'!$W$51))</f>
        <v>47159.858038395221</v>
      </c>
      <c r="AO49" s="790">
        <f>IF('Market Penetration'!S49=0,0,1000*S49*'Market Data'!$Y$51/('Market Penetration'!S49*'Market Data'!$W$51))</f>
        <v>41153.14629441189</v>
      </c>
      <c r="AP49" s="478">
        <f>IF('Market Penetration'!T49=0,0,1000*T49*('Market Data'!$E$51+'Market Data'!$O$51+'Market Data'!$Y$51)/('Market Penetration'!T49*('Market Data'!$C$51+'Market Data'!$M$51+'Market Data'!$W$51)))</f>
        <v>16004.173837711889</v>
      </c>
      <c r="AQ49" s="480">
        <f>IF('Market Penetration'!U49=0,0,1000*U49*('Market Data'!$E$51+'Market Data'!$O$51+'Market Data'!$Y$51)/('Market Penetration'!U49*('Market Data'!$C$51+'Market Data'!$M$51+'Market Data'!$W$51)))</f>
        <v>97161.638883237771</v>
      </c>
    </row>
    <row r="50" spans="1:43" ht="15" x14ac:dyDescent="0.25">
      <c r="A50" s="421">
        <v>2048</v>
      </c>
      <c r="B50" s="441">
        <f t="shared" si="12"/>
        <v>1.8414824772568394E-2</v>
      </c>
      <c r="C50" s="442">
        <f>'7&amp;8 Sleep'!$M117+'7&amp;8 Sleep'!$Z117</f>
        <v>0.27975351092213752</v>
      </c>
      <c r="D50" s="442">
        <f>'7&amp;8 Sleep'!$M169+'7&amp;8 Sleep'!$Z169</f>
        <v>0.27814547250404037</v>
      </c>
      <c r="E50" s="800">
        <f>'7&amp;8 Sleep'!$M221+'7&amp;8 Sleep'!$Z221</f>
        <v>0.20827788476060091</v>
      </c>
      <c r="F50" s="442">
        <f>'7&amp;8 Sleep'!$M274+'7&amp;8 Sleep'!$Z274</f>
        <v>0.14896322113914595</v>
      </c>
      <c r="G50" s="758">
        <f>'7&amp;8 Sleep'!$M327+'7&amp;8 Sleep'!$Z327</f>
        <v>6.6445085901506926E-2</v>
      </c>
      <c r="H50" s="959">
        <f t="shared" si="13"/>
        <v>7.830252194405507E-2</v>
      </c>
      <c r="I50" s="758">
        <f>'7&amp;8 Day'!$M117+'7&amp;8 Day'!$Z117</f>
        <v>0.24578208648991279</v>
      </c>
      <c r="J50" s="758">
        <f>'7&amp;8 Day'!$M169+'7&amp;8 Day'!$Z169</f>
        <v>0.24533951317130201</v>
      </c>
      <c r="K50" s="758">
        <f>'7&amp;8 Day'!$M221+'7&amp;8 Day'!$Z221</f>
        <v>0.2313476670997418</v>
      </c>
      <c r="L50" s="758">
        <f>'7&amp;8 Day'!$M274+'7&amp;8 Day'!$Z274</f>
        <v>2.1428601406890499E-2</v>
      </c>
      <c r="M50" s="805">
        <f>'7&amp;8 Day'!$M327+'7&amp;8 Day'!$Z327</f>
        <v>0.17779960988809776</v>
      </c>
      <c r="N50" s="441">
        <f t="shared" si="14"/>
        <v>0.40947485779287507</v>
      </c>
      <c r="O50" s="442">
        <f>'7&amp;8 SU'!$M117+'7&amp;8 SU'!$Z117</f>
        <v>0.13773989942934969</v>
      </c>
      <c r="P50" s="442">
        <f>'7&amp;8 SU'!$M169+'7&amp;8 SU'!$Z169</f>
        <v>0.18150087770597376</v>
      </c>
      <c r="Q50" s="800">
        <f>'7&amp;8 SU'!$M221+'7&amp;8 SU'!$Z221</f>
        <v>0.1024099975675314</v>
      </c>
      <c r="R50" s="442">
        <f>'7&amp;8 SU'!$M274+'7&amp;8 SU'!$Z274</f>
        <v>9.621178256709656E-2</v>
      </c>
      <c r="S50" s="758">
        <f>'7&amp;8 SU'!$M327+'7&amp;8 SU'!$Z327</f>
        <v>7.2662584937173577E-2</v>
      </c>
      <c r="T50" s="441">
        <f>B50*'Market Data'!$E$52+H50*'Market Data'!$O$52+N50*+N50*'Market Data'!$Y$52</f>
        <v>4.6286136104621234E-2</v>
      </c>
      <c r="U50" s="443">
        <f>SUM(C50:G50)*'Market Data'!$E$52+SUM(I50:M50)*'Market Data'!$O$52+SUM(O50:S50)*+N50*'Market Data'!$Y$52</f>
        <v>0.90075650967897303</v>
      </c>
      <c r="W50" s="421">
        <v>2048</v>
      </c>
      <c r="X50" s="478">
        <f>IF('Market Penetration'!B50=0,0,1000*B50*'Market Data'!$E$51/('Market Penetration'!B50*'Market Data'!$C$51))</f>
        <v>39194.121798840599</v>
      </c>
      <c r="Y50" s="479">
        <f>IF('Market Penetration'!C50=0,0,1000*C50*'Market Data'!$E$51/('Market Penetration'!C50*'Market Data'!$C$51))</f>
        <v>114944.92534322923</v>
      </c>
      <c r="Z50" s="479">
        <f>IF('Market Penetration'!D50=0,0,1000*D50*'Market Data'!$E$51/('Market Penetration'!D50*'Market Data'!$C$51))</f>
        <v>115690.67024416402</v>
      </c>
      <c r="AA50" s="795">
        <f>IF('Market Penetration'!E50=0,0,1000*E50*'Market Data'!$E$51/('Market Penetration'!E50*'Market Data'!$C$51))</f>
        <v>124968.58246824928</v>
      </c>
      <c r="AB50" s="479">
        <f>IF('Market Penetration'!F50=0,0,1000*F50*'Market Data'!$E$51/('Market Penetration'!F50*'Market Data'!$C$51))</f>
        <v>123865.22450833322</v>
      </c>
      <c r="AC50" s="790">
        <f>IF('Market Penetration'!G50=0,0,1000*G50*'Market Data'!$E$51/('Market Penetration'!G50*'Market Data'!$C$51))</f>
        <v>116057.56871733122</v>
      </c>
      <c r="AD50" s="478">
        <f>IF('Market Penetration'!H50=0,0,1000*H50*'Market Data'!$O$51/('Market Penetration'!H50*'Market Data'!$M$51))</f>
        <v>32908.336916727349</v>
      </c>
      <c r="AE50" s="479">
        <f>IF('Market Penetration'!I50=0,0,1000*I50*'Market Data'!$O$51/('Market Penetration'!I50*'Market Data'!$M$51))</f>
        <v>93896.422762903021</v>
      </c>
      <c r="AF50" s="479">
        <f>IF('Market Penetration'!J50=0,0,1000*J50*'Market Data'!$O$51/('Market Penetration'!J50*'Market Data'!$M$51))</f>
        <v>93879.599043139388</v>
      </c>
      <c r="AG50" s="479">
        <f>IF('Market Penetration'!K50=0,0,1000*K50*'Market Data'!$O$51/('Market Penetration'!K50*'Market Data'!$M$51))</f>
        <v>88438.261001428953</v>
      </c>
      <c r="AH50" s="479">
        <f>IF('Market Penetration'!L50=0,0,1000*L50*'Market Data'!$O$51/('Market Penetration'!L50*'Market Data'!$M$51))</f>
        <v>43798.426998552612</v>
      </c>
      <c r="AI50" s="480">
        <f>IF('Market Penetration'!M50=0,0,1000*M50*'Market Data'!$O$51/('Market Penetration'!M50*'Market Data'!$M$51))</f>
        <v>78186.092653529995</v>
      </c>
      <c r="AJ50" s="478">
        <f>IF('Market Penetration'!N50=0,0,1000*N50*'Market Data'!$Y$51/('Market Penetration'!N50*'Market Data'!$W$51))</f>
        <v>17664.428546122592</v>
      </c>
      <c r="AK50" s="479">
        <f>IF('Market Penetration'!O50=0,0,1000*O50*'Market Data'!$Y$51/('Market Penetration'!O50*'Market Data'!$W$51))</f>
        <v>44555.038915338111</v>
      </c>
      <c r="AL50" s="479">
        <f>IF('Market Penetration'!P50=0,0,1000*P50*'Market Data'!$Y$51/('Market Penetration'!P50*'Market Data'!$W$51))</f>
        <v>39865.586722836735</v>
      </c>
      <c r="AM50" s="795">
        <f>IF('Market Penetration'!Q50=0,0,1000*Q50*'Market Data'!$Y$51/('Market Penetration'!Q50*'Market Data'!$W$51))</f>
        <v>50567.855724305817</v>
      </c>
      <c r="AN50" s="479">
        <f>IF('Market Penetration'!R50=0,0,1000*R50*'Market Data'!$Y$51/('Market Penetration'!R50*'Market Data'!$W$51))</f>
        <v>47128.323027966399</v>
      </c>
      <c r="AO50" s="790">
        <f>IF('Market Penetration'!S50=0,0,1000*S50*'Market Data'!$Y$51/('Market Penetration'!S50*'Market Data'!$W$51))</f>
        <v>40577.947518913694</v>
      </c>
      <c r="AP50" s="478">
        <f>IF('Market Penetration'!T50=0,0,1000*T50*('Market Data'!$E$51+'Market Data'!$O$51+'Market Data'!$Y$51)/('Market Penetration'!T50*('Market Data'!$C$51+'Market Data'!$M$51+'Market Data'!$W$51)))</f>
        <v>15592.812420641849</v>
      </c>
      <c r="AQ50" s="480">
        <f>IF('Market Penetration'!U50=0,0,1000*U50*('Market Data'!$E$51+'Market Data'!$O$51+'Market Data'!$Y$51)/('Market Penetration'!U50*('Market Data'!$C$51+'Market Data'!$M$51+'Market Data'!$W$51)))</f>
        <v>96732.923798441203</v>
      </c>
    </row>
    <row r="51" spans="1:43" ht="15" x14ac:dyDescent="0.25">
      <c r="A51" s="421">
        <v>2049</v>
      </c>
      <c r="B51" s="441">
        <f t="shared" si="12"/>
        <v>1.8610803126827391E-2</v>
      </c>
      <c r="C51" s="442">
        <f>'7&amp;8 Sleep'!$M118+'7&amp;8 Sleep'!$Z118</f>
        <v>0.27618706594721854</v>
      </c>
      <c r="D51" s="442">
        <f>'7&amp;8 Sleep'!$M170+'7&amp;8 Sleep'!$Z170</f>
        <v>0.27470406059298813</v>
      </c>
      <c r="E51" s="800">
        <f>'7&amp;8 Sleep'!$M222+'7&amp;8 Sleep'!$Z222</f>
        <v>0.20363756419853529</v>
      </c>
      <c r="F51" s="442">
        <f>'7&amp;8 Sleep'!$M275+'7&amp;8 Sleep'!$Z275</f>
        <v>0.15380555618355291</v>
      </c>
      <c r="G51" s="758">
        <f>'7&amp;8 Sleep'!$M328+'7&amp;8 Sleep'!$Z328</f>
        <v>7.3054949950877801E-2</v>
      </c>
      <c r="H51" s="959">
        <f t="shared" si="13"/>
        <v>7.267649070941351E-2</v>
      </c>
      <c r="I51" s="758">
        <f>'7&amp;8 Day'!$M118+'7&amp;8 Day'!$Z118</f>
        <v>0.24449605759861345</v>
      </c>
      <c r="J51" s="758">
        <f>'7&amp;8 Day'!$M170+'7&amp;8 Day'!$Z170</f>
        <v>0.24405392291840414</v>
      </c>
      <c r="K51" s="758">
        <f>'7&amp;8 Day'!$M222+'7&amp;8 Day'!$Z222</f>
        <v>0.23238712867114614</v>
      </c>
      <c r="L51" s="758">
        <f>'7&amp;8 Day'!$M275+'7&amp;8 Day'!$Z275</f>
        <v>2.3035193854289766E-2</v>
      </c>
      <c r="M51" s="805">
        <f>'7&amp;8 Day'!$M328+'7&amp;8 Day'!$Z328</f>
        <v>0.18335120624813289</v>
      </c>
      <c r="N51" s="441">
        <f t="shared" si="14"/>
        <v>0.4143406331793229</v>
      </c>
      <c r="O51" s="442">
        <f>'7&amp;8 SU'!$M118+'7&amp;8 SU'!$Z118</f>
        <v>0.13586153322162692</v>
      </c>
      <c r="P51" s="442">
        <f>'7&amp;8 SU'!$M170+'7&amp;8 SU'!$Z170</f>
        <v>0.17651764786695601</v>
      </c>
      <c r="Q51" s="800">
        <f>'7&amp;8 SU'!$M222+'7&amp;8 SU'!$Z222</f>
        <v>0.10104862806625081</v>
      </c>
      <c r="R51" s="442">
        <f>'7&amp;8 SU'!$M275+'7&amp;8 SU'!$Z275</f>
        <v>9.72932439049847E-2</v>
      </c>
      <c r="S51" s="758">
        <f>'7&amp;8 SU'!$M328+'7&amp;8 SU'!$Z328</f>
        <v>7.4938313760858688E-2</v>
      </c>
      <c r="T51" s="441">
        <f>B51*'Market Data'!$E$52+H51*'Market Data'!$O$52+N51*+N51*'Market Data'!$Y$52</f>
        <v>4.5415715878047144E-2</v>
      </c>
      <c r="U51" s="443">
        <f>SUM(C51:G51)*'Market Data'!$E$52+SUM(I51:M51)*'Market Data'!$O$52+SUM(O51:S51)*+N51*'Market Data'!$Y$52</f>
        <v>0.90206328489242293</v>
      </c>
      <c r="W51" s="421">
        <v>2049</v>
      </c>
      <c r="X51" s="478">
        <f>IF('Market Penetration'!B51=0,0,1000*B51*'Market Data'!$E$51/('Market Penetration'!B51*'Market Data'!$C$51))</f>
        <v>39031.38887532505</v>
      </c>
      <c r="Y51" s="479">
        <f>IF('Market Penetration'!C51=0,0,1000*C51*'Market Data'!$E$51/('Market Penetration'!C51*'Market Data'!$C$51))</f>
        <v>115242.95131724273</v>
      </c>
      <c r="Z51" s="479">
        <f>IF('Market Penetration'!D51=0,0,1000*D51*'Market Data'!$E$51/('Market Penetration'!D51*'Market Data'!$C$51))</f>
        <v>115860.90934502326</v>
      </c>
      <c r="AA51" s="795">
        <f>IF('Market Penetration'!E51=0,0,1000*E51*'Market Data'!$E$51/('Market Penetration'!E51*'Market Data'!$C$51))</f>
        <v>125036.60786111276</v>
      </c>
      <c r="AB51" s="479">
        <f>IF('Market Penetration'!F51=0,0,1000*F51*'Market Data'!$E$51/('Market Penetration'!F51*'Market Data'!$C$51))</f>
        <v>123520.63629216583</v>
      </c>
      <c r="AC51" s="790">
        <f>IF('Market Penetration'!G51=0,0,1000*G51*'Market Data'!$E$51/('Market Penetration'!G51*'Market Data'!$C$51))</f>
        <v>115689.20483254276</v>
      </c>
      <c r="AD51" s="478">
        <f>IF('Market Penetration'!H51=0,0,1000*H51*'Market Data'!$O$51/('Market Penetration'!H51*'Market Data'!$M$51))</f>
        <v>33030.88217644806</v>
      </c>
      <c r="AE51" s="479">
        <f>IF('Market Penetration'!I51=0,0,1000*I51*'Market Data'!$O$51/('Market Penetration'!I51*'Market Data'!$M$51))</f>
        <v>93919.624930103833</v>
      </c>
      <c r="AF51" s="479">
        <f>IF('Market Penetration'!J51=0,0,1000*J51*'Market Data'!$O$51/('Market Penetration'!J51*'Market Data'!$M$51))</f>
        <v>93902.728858230243</v>
      </c>
      <c r="AG51" s="479">
        <f>IF('Market Penetration'!K51=0,0,1000*K51*'Market Data'!$O$51/('Market Penetration'!K51*'Market Data'!$M$51))</f>
        <v>88163.29614755261</v>
      </c>
      <c r="AH51" s="479">
        <f>IF('Market Penetration'!L51=0,0,1000*L51*'Market Data'!$O$51/('Market Penetration'!L51*'Market Data'!$M$51))</f>
        <v>43509.48176956168</v>
      </c>
      <c r="AI51" s="480">
        <f>IF('Market Penetration'!M51=0,0,1000*M51*'Market Data'!$O$51/('Market Penetration'!M51*'Market Data'!$M$51))</f>
        <v>75709.846707447185</v>
      </c>
      <c r="AJ51" s="478">
        <f>IF('Market Penetration'!N51=0,0,1000*N51*'Market Data'!$Y$51/('Market Penetration'!N51*'Market Data'!$W$51))</f>
        <v>17745.883145941185</v>
      </c>
      <c r="AK51" s="479">
        <f>IF('Market Penetration'!O51=0,0,1000*O51*'Market Data'!$Y$51/('Market Penetration'!O51*'Market Data'!$W$51))</f>
        <v>44861.271541999842</v>
      </c>
      <c r="AL51" s="479">
        <f>IF('Market Penetration'!P51=0,0,1000*P51*'Market Data'!$Y$51/('Market Penetration'!P51*'Market Data'!$W$51))</f>
        <v>40275.330170607172</v>
      </c>
      <c r="AM51" s="795">
        <f>IF('Market Penetration'!Q51=0,0,1000*Q51*'Market Data'!$Y$51/('Market Penetration'!Q51*'Market Data'!$W$51))</f>
        <v>50837.413044411507</v>
      </c>
      <c r="AN51" s="479">
        <f>IF('Market Penetration'!R51=0,0,1000*R51*'Market Data'!$Y$51/('Market Penetration'!R51*'Market Data'!$W$51))</f>
        <v>46924.816016713186</v>
      </c>
      <c r="AO51" s="790">
        <f>IF('Market Penetration'!S51=0,0,1000*S51*'Market Data'!$Y$51/('Market Penetration'!S51*'Market Data'!$W$51))</f>
        <v>40256.118427238049</v>
      </c>
      <c r="AP51" s="478">
        <f>IF('Market Penetration'!T51=0,0,1000*T51*('Market Data'!$E$51+'Market Data'!$O$51+'Market Data'!$Y$51)/('Market Penetration'!T51*('Market Data'!$C$51+'Market Data'!$M$51+'Market Data'!$W$51)))</f>
        <v>15422.319573119939</v>
      </c>
      <c r="AQ51" s="480">
        <f>IF('Market Penetration'!U51=0,0,1000*U51*('Market Data'!$E$51+'Market Data'!$O$51+'Market Data'!$Y$51)/('Market Penetration'!U51*('Market Data'!$C$51+'Market Data'!$M$51+'Market Data'!$W$51)))</f>
        <v>96628.122207555061</v>
      </c>
    </row>
    <row r="52" spans="1:43" ht="15.75" thickBot="1" x14ac:dyDescent="0.3">
      <c r="A52" s="422">
        <v>2050</v>
      </c>
      <c r="B52" s="453">
        <f t="shared" si="12"/>
        <v>1.8610803126827169E-2</v>
      </c>
      <c r="C52" s="454">
        <f>'7&amp;8 Sleep'!$M119+'7&amp;8 Sleep'!$Z119</f>
        <v>0.27362615214178609</v>
      </c>
      <c r="D52" s="454">
        <f>'7&amp;8 Sleep'!$M171+'7&amp;8 Sleep'!$Z171</f>
        <v>0.27215974326680886</v>
      </c>
      <c r="E52" s="803">
        <f>'7&amp;8 Sleep'!$M223+'7&amp;8 Sleep'!$Z223</f>
        <v>0.20125162021995119</v>
      </c>
      <c r="F52" s="454">
        <f>'7&amp;8 Sleep'!$M276+'7&amp;8 Sleep'!$Z276</f>
        <v>0.1574737012947468</v>
      </c>
      <c r="G52" s="761">
        <f>'7&amp;8 Sleep'!$M329+'7&amp;8 Sleep'!$Z329</f>
        <v>7.6877979949879743E-2</v>
      </c>
      <c r="H52" s="962">
        <f t="shared" si="13"/>
        <v>6.827800098900827E-2</v>
      </c>
      <c r="I52" s="761">
        <f>'7&amp;8 Day'!$M119+'7&amp;8 Day'!$Z119</f>
        <v>0.2437574814075209</v>
      </c>
      <c r="J52" s="761">
        <f>'7&amp;8 Day'!$M171+'7&amp;8 Day'!$Z171</f>
        <v>0.2433155587627801</v>
      </c>
      <c r="K52" s="761">
        <f>'7&amp;8 Day'!$M223+'7&amp;8 Day'!$Z223</f>
        <v>0.23313757654962602</v>
      </c>
      <c r="L52" s="761">
        <f>'7&amp;8 Day'!$M276+'7&amp;8 Day'!$Z276</f>
        <v>2.4422662061035501E-2</v>
      </c>
      <c r="M52" s="808">
        <f>'7&amp;8 Day'!$M329+'7&amp;8 Day'!$Z329</f>
        <v>0.18708872023002915</v>
      </c>
      <c r="N52" s="453">
        <f t="shared" si="14"/>
        <v>0.41434063317932313</v>
      </c>
      <c r="O52" s="454">
        <f>'7&amp;8 SU'!$M119+'7&amp;8 SU'!$Z119</f>
        <v>0.13502845763498209</v>
      </c>
      <c r="P52" s="454">
        <f>'7&amp;8 SU'!$M171+'7&amp;8 SU'!$Z171</f>
        <v>0.17535191243931769</v>
      </c>
      <c r="Q52" s="803">
        <f>'7&amp;8 SU'!$M223+'7&amp;8 SU'!$Z223</f>
        <v>0.1004895189687009</v>
      </c>
      <c r="R52" s="454">
        <f>'7&amp;8 SU'!$M276+'7&amp;8 SU'!$Z276</f>
        <v>9.6693710460938762E-2</v>
      </c>
      <c r="S52" s="761">
        <f>'7&amp;8 SU'!$M329+'7&amp;8 SU'!$Z329</f>
        <v>7.8095767316737563E-2</v>
      </c>
      <c r="T52" s="453">
        <f>B52*'Market Data'!$E$52+H52*'Market Data'!$O$52+N52*+N52*'Market Data'!$Y$52</f>
        <v>4.435175488524077E-2</v>
      </c>
      <c r="U52" s="455">
        <f>SUM(C52:G52)*'Market Data'!$E$52+SUM(I52:M52)*'Market Data'!$O$52+SUM(O52:S52)*+N52*'Market Data'!$Y$52</f>
        <v>0.9031272458852293</v>
      </c>
      <c r="W52" s="422">
        <v>2050</v>
      </c>
      <c r="X52" s="488">
        <f>IF('Market Penetration'!B52=0,0,1000*B52*'Market Data'!$E$51/('Market Penetration'!B52*'Market Data'!$C$51))</f>
        <v>39031.388875324657</v>
      </c>
      <c r="Y52" s="489">
        <f>IF('Market Penetration'!C52=0,0,1000*C52*'Market Data'!$E$51/('Market Penetration'!C52*'Market Data'!$C$51))</f>
        <v>115330.52796958511</v>
      </c>
      <c r="Z52" s="489">
        <f>IF('Market Penetration'!D52=0,0,1000*D52*'Market Data'!$E$51/('Market Penetration'!D52*'Market Data'!$C$51))</f>
        <v>115950.37033210362</v>
      </c>
      <c r="AA52" s="798">
        <f>IF('Market Penetration'!E52=0,0,1000*E52*'Market Data'!$E$51/('Market Penetration'!E52*'Market Data'!$C$51))</f>
        <v>125117.16715653986</v>
      </c>
      <c r="AB52" s="489">
        <f>IF('Market Penetration'!F52=0,0,1000*F52*'Market Data'!$E$51/('Market Penetration'!F52*'Market Data'!$C$51))</f>
        <v>123263.88832146965</v>
      </c>
      <c r="AC52" s="793">
        <f>IF('Market Penetration'!G52=0,0,1000*G52*'Market Data'!$E$51/('Market Penetration'!G52*'Market Data'!$C$51))</f>
        <v>115252.51826588913</v>
      </c>
      <c r="AD52" s="488">
        <f>IF('Market Penetration'!H52=0,0,1000*H52*'Market Data'!$O$51/('Market Penetration'!H52*'Market Data'!$M$51))</f>
        <v>33643.752172415581</v>
      </c>
      <c r="AE52" s="489">
        <f>IF('Market Penetration'!I52=0,0,1000*I52*'Market Data'!$O$51/('Market Penetration'!I52*'Market Data'!$M$51))</f>
        <v>93933.710119208816</v>
      </c>
      <c r="AF52" s="489">
        <f>IF('Market Penetration'!J52=0,0,1000*J52*'Market Data'!$O$51/('Market Penetration'!J52*'Market Data'!$M$51))</f>
        <v>93916.770896121161</v>
      </c>
      <c r="AG52" s="489">
        <f>IF('Market Penetration'!K52=0,0,1000*K52*'Market Data'!$O$51/('Market Penetration'!K52*'Market Data'!$M$51))</f>
        <v>87710.906452858122</v>
      </c>
      <c r="AH52" s="489">
        <f>IF('Market Penetration'!L52=0,0,1000*L52*'Market Data'!$O$51/('Market Penetration'!L52*'Market Data'!$M$51))</f>
        <v>43000.1845139375</v>
      </c>
      <c r="AI52" s="490">
        <f>IF('Market Penetration'!M52=0,0,1000*M52*'Market Data'!$O$51/('Market Penetration'!M52*'Market Data'!$M$51))</f>
        <v>73414.328507066253</v>
      </c>
      <c r="AJ52" s="488">
        <f>IF('Market Penetration'!N52=0,0,1000*N52*'Market Data'!$Y$51/('Market Penetration'!N52*'Market Data'!$W$51))</f>
        <v>17745.883145941196</v>
      </c>
      <c r="AK52" s="489">
        <f>IF('Market Penetration'!O52=0,0,1000*O52*'Market Data'!$Y$51/('Market Penetration'!O52*'Market Data'!$W$51))</f>
        <v>44927.919727005159</v>
      </c>
      <c r="AL52" s="489">
        <f>IF('Market Penetration'!P52=0,0,1000*P52*'Market Data'!$Y$51/('Market Penetration'!P52*'Market Data'!$W$51))</f>
        <v>40319.973793332516</v>
      </c>
      <c r="AM52" s="798">
        <f>IF('Market Penetration'!Q52=0,0,1000*Q52*'Market Data'!$Y$51/('Market Penetration'!Q52*'Market Data'!$W$51))</f>
        <v>50926.524185294787</v>
      </c>
      <c r="AN52" s="489">
        <f>IF('Market Penetration'!R52=0,0,1000*R52*'Market Data'!$Y$51/('Market Penetration'!R52*'Market Data'!$W$51))</f>
        <v>47006.325539936915</v>
      </c>
      <c r="AO52" s="793">
        <f>IF('Market Penetration'!S52=0,0,1000*S52*'Market Data'!$Y$51/('Market Penetration'!S52*'Market Data'!$W$51))</f>
        <v>40066.6831719658</v>
      </c>
      <c r="AP52" s="488">
        <f>IF('Market Penetration'!T52=0,0,1000*T52*('Market Data'!$E$51+'Market Data'!$O$51+'Market Data'!$Y$51)/('Market Penetration'!T52*('Market Data'!$C$51+'Market Data'!$M$51+'Market Data'!$W$51)))</f>
        <v>15275.352388311841</v>
      </c>
      <c r="AQ52" s="490">
        <f>IF('Market Penetration'!U52=0,0,1000*U52*('Market Data'!$E$51+'Market Data'!$O$51+'Market Data'!$Y$51)/('Market Penetration'!U52*('Market Data'!$C$51+'Market Data'!$M$51+'Market Data'!$W$51)))</f>
        <v>96315.788004322676</v>
      </c>
    </row>
    <row r="53" spans="1:43" x14ac:dyDescent="0.2">
      <c r="A53" s="416"/>
      <c r="B53" s="416"/>
    </row>
    <row r="54" spans="1:43" x14ac:dyDescent="0.2">
      <c r="A54" s="426" t="str">
        <f>"Run id: '"&amp;'Run Model'!B3&amp;"'"</f>
        <v>Run id: 'BaSce FY2020 Final Run'</v>
      </c>
      <c r="B54" s="416"/>
      <c r="F54" s="1397"/>
      <c r="O54" s="1397"/>
      <c r="T54" s="1397"/>
    </row>
    <row r="55" spans="1:43" x14ac:dyDescent="0.2">
      <c r="A55" s="426" t="s">
        <v>126</v>
      </c>
      <c r="B55" s="416"/>
    </row>
    <row r="56" spans="1:43" x14ac:dyDescent="0.2">
      <c r="A56" s="491" t="str">
        <f>"Combination, Centrally Refueled: " &amp;TEXT(RtimeCls1Cent1,"mm/dd/yyyy hh:mm")</f>
        <v>Combination, Centrally Refueled: 02/21/2020 18:23</v>
      </c>
      <c r="B56" s="417"/>
    </row>
    <row r="57" spans="1:43" x14ac:dyDescent="0.2">
      <c r="A57" s="491" t="str">
        <f>"Combination, Non-Centrally Refueled: " &amp;TEXT(RtimeCls1NCent1,"mm/dd/yyyy hh:mm")</f>
        <v>Combination, Non-Centrally Refueled: 02/21/2020 18:23</v>
      </c>
    </row>
    <row r="58" spans="1:43" x14ac:dyDescent="0.2">
      <c r="A58" s="491" t="str">
        <f>"Single Unit, Centrally Refueled: " &amp;TEXT(RtimeCls2Cent1,"mm/dd/yyyy hh:mm")</f>
        <v>Single Unit, Centrally Refueled: 02/21/2020 18:23</v>
      </c>
    </row>
    <row r="59" spans="1:43" x14ac:dyDescent="0.2">
      <c r="A59" s="491" t="str">
        <f>"Single Unit, Non-Centrally Refueled: " &amp;TEXT(RtimeCls2NCent1,"mm/dd/yyyy hh:mm")</f>
        <v>Single Unit, Non-Centrally Refueled: 02/21/2020 18:23</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2" activePane="bottomLeft" state="frozen"/>
      <selection pane="bottomLeft" activeCell="H67" sqref="H67"/>
    </sheetView>
  </sheetViews>
  <sheetFormatPr defaultColWidth="9.140625" defaultRowHeight="12.75" x14ac:dyDescent="0.2"/>
  <cols>
    <col min="1" max="1" width="9.140625" style="415"/>
    <col min="2" max="2" width="13.28515625" style="415" customWidth="1"/>
    <col min="3" max="7" width="10.42578125" style="415" customWidth="1"/>
    <col min="8" max="8" width="13.85546875" style="415" customWidth="1"/>
    <col min="9" max="13" width="10.42578125" style="415" customWidth="1"/>
    <col min="14" max="14" width="13.28515625" style="415" customWidth="1"/>
    <col min="15" max="15" width="11.28515625" style="415" bestFit="1" customWidth="1"/>
    <col min="16" max="17" width="9.140625" style="415"/>
    <col min="18" max="18" width="10.42578125" style="415" customWidth="1"/>
    <col min="19" max="20" width="9.140625" style="415"/>
    <col min="21" max="21" width="11.7109375" style="415" customWidth="1"/>
    <col min="22" max="25" width="9.140625" style="415"/>
    <col min="26" max="26" width="9.42578125" style="415" customWidth="1"/>
    <col min="27" max="16384" width="9.140625" style="415"/>
  </cols>
  <sheetData>
    <row r="1" spans="1:26" x14ac:dyDescent="0.2">
      <c r="A1" s="967" t="s">
        <v>270</v>
      </c>
    </row>
    <row r="3" spans="1:26" ht="19.5" thickBot="1" x14ac:dyDescent="0.35">
      <c r="A3" s="1606" t="s">
        <v>128</v>
      </c>
      <c r="B3" s="1607"/>
      <c r="C3" s="1607"/>
      <c r="D3" s="1607"/>
      <c r="E3" s="1607"/>
      <c r="F3" s="1607"/>
      <c r="G3" s="1607"/>
      <c r="H3" s="1607"/>
      <c r="I3" s="1607"/>
      <c r="J3" s="1607"/>
      <c r="K3" s="1607"/>
      <c r="L3" s="1607"/>
      <c r="M3" s="1607"/>
      <c r="N3" s="1607"/>
      <c r="O3" s="1607"/>
      <c r="P3" s="1607"/>
      <c r="Q3" s="1607"/>
      <c r="R3" s="1607"/>
      <c r="S3" s="1607"/>
      <c r="T3" s="1607"/>
      <c r="U3" s="1607"/>
    </row>
    <row r="4" spans="1:26" ht="15" x14ac:dyDescent="0.25">
      <c r="A4" s="418"/>
      <c r="B4" s="1608" t="s">
        <v>258</v>
      </c>
      <c r="C4" s="1609"/>
      <c r="D4" s="1609"/>
      <c r="E4" s="1609"/>
      <c r="F4" s="1609"/>
      <c r="G4" s="1610"/>
      <c r="H4" s="1608" t="s">
        <v>259</v>
      </c>
      <c r="I4" s="1609"/>
      <c r="J4" s="1609"/>
      <c r="K4" s="1609"/>
      <c r="L4" s="1609"/>
      <c r="M4" s="1610"/>
      <c r="N4" s="1608" t="s">
        <v>156</v>
      </c>
      <c r="O4" s="1609"/>
      <c r="P4" s="1609"/>
      <c r="Q4" s="1609"/>
      <c r="R4" s="1609"/>
      <c r="S4" s="1610"/>
      <c r="T4" s="1615" t="s">
        <v>155</v>
      </c>
      <c r="U4" s="1616"/>
    </row>
    <row r="5" spans="1:26" ht="15" x14ac:dyDescent="0.25">
      <c r="A5" s="419"/>
      <c r="B5" s="1611" t="s">
        <v>129</v>
      </c>
      <c r="C5" s="1612"/>
      <c r="D5" s="1612"/>
      <c r="E5" s="1612"/>
      <c r="F5" s="1612"/>
      <c r="G5" s="1613"/>
      <c r="H5" s="1611" t="s">
        <v>129</v>
      </c>
      <c r="I5" s="1612"/>
      <c r="J5" s="1612"/>
      <c r="K5" s="1612"/>
      <c r="L5" s="1612"/>
      <c r="M5" s="1613"/>
      <c r="N5" s="1611" t="s">
        <v>129</v>
      </c>
      <c r="O5" s="1612"/>
      <c r="P5" s="1612"/>
      <c r="Q5" s="1612"/>
      <c r="R5" s="1612"/>
      <c r="S5" s="1613"/>
      <c r="T5" s="1614" t="s">
        <v>129</v>
      </c>
      <c r="U5" s="1593"/>
    </row>
    <row r="6" spans="1:26"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9"/>
      <c r="U6" s="750"/>
      <c r="V6" s="415" t="s">
        <v>371</v>
      </c>
    </row>
    <row r="7" spans="1:26" s="954" customFormat="1" ht="30" x14ac:dyDescent="0.2">
      <c r="A7" s="948"/>
      <c r="B7" s="1210" t="str">
        <f t="shared" ref="B7:G7" si="0">INDEX(TECH_OPT_DESC_Cls1,MATCH(B6,TECH_OPT_ROWS_Cls1,0))</f>
        <v>Conventional Diesel ICE</v>
      </c>
      <c r="C7" s="1211" t="str">
        <f t="shared" si="0"/>
        <v>Adv Conv</v>
      </c>
      <c r="D7" s="1211" t="str">
        <f t="shared" si="0"/>
        <v>ISG</v>
      </c>
      <c r="E7" s="1211" t="str">
        <f t="shared" si="0"/>
        <v>HEV</v>
      </c>
      <c r="F7" s="1211" t="str">
        <f t="shared" si="0"/>
        <v>PHEV</v>
      </c>
      <c r="G7" s="1212" t="str">
        <f t="shared" si="0"/>
        <v>FCHEV</v>
      </c>
      <c r="H7" s="1210" t="str">
        <f t="shared" ref="H7:M7" si="1">INDEX(TECH_OPT_DESC_Cls2,MATCH(H6,TECH_OPT_ROWS_Cls2,0))</f>
        <v>Conventional Diesel ICE</v>
      </c>
      <c r="I7" s="1211" t="str">
        <f t="shared" si="1"/>
        <v>Adv Conv</v>
      </c>
      <c r="J7" s="1211" t="str">
        <f t="shared" si="1"/>
        <v>ISG</v>
      </c>
      <c r="K7" s="1211" t="str">
        <f t="shared" si="1"/>
        <v>PHEV</v>
      </c>
      <c r="L7" s="1211" t="str">
        <f t="shared" si="1"/>
        <v>BEV</v>
      </c>
      <c r="M7" s="1212" t="str">
        <f t="shared" si="1"/>
        <v>FCHEV</v>
      </c>
      <c r="N7" s="1210" t="str">
        <f t="shared" ref="N7:S7" si="2">INDEX(TECH_OPT_DESC_Cls3,MATCH(N6,TECH_OPT_ROWS_Cls3,0))</f>
        <v>Conventional Diesel ICE</v>
      </c>
      <c r="O7" s="1211" t="str">
        <f t="shared" si="2"/>
        <v>Adv Conv</v>
      </c>
      <c r="P7" s="1211" t="str">
        <f t="shared" si="2"/>
        <v>ISG</v>
      </c>
      <c r="Q7" s="1211" t="str">
        <f t="shared" si="2"/>
        <v>HEV</v>
      </c>
      <c r="R7" s="1211" t="str">
        <f t="shared" si="2"/>
        <v>PHEV</v>
      </c>
      <c r="S7" s="1212" t="str">
        <f t="shared" si="2"/>
        <v>BEV</v>
      </c>
      <c r="T7" s="952" t="s">
        <v>70</v>
      </c>
      <c r="U7" s="953" t="s">
        <v>140</v>
      </c>
      <c r="V7" s="954" t="s">
        <v>331</v>
      </c>
      <c r="W7" s="954" t="s">
        <v>332</v>
      </c>
      <c r="X7" s="954" t="s">
        <v>334</v>
      </c>
      <c r="Y7" s="954" t="s">
        <v>333</v>
      </c>
      <c r="Z7" s="954" t="s">
        <v>370</v>
      </c>
    </row>
    <row r="8" spans="1:26" ht="30.75" thickBot="1" x14ac:dyDescent="0.3">
      <c r="A8" s="423" t="s">
        <v>3</v>
      </c>
      <c r="B8" s="1213" t="str">
        <f t="shared" ref="B8:G8" si="3">INDEX(TECH_OPT_FUEL1_Cls1,MATCH(B6,TECH_OPT_ROWS_Cls1,0))</f>
        <v>Diesel</v>
      </c>
      <c r="C8" s="1214" t="str">
        <f t="shared" si="3"/>
        <v>Diesel</v>
      </c>
      <c r="D8" s="1214" t="str">
        <f t="shared" si="3"/>
        <v>Diesel</v>
      </c>
      <c r="E8" s="1214" t="str">
        <f t="shared" si="3"/>
        <v>Diesel</v>
      </c>
      <c r="F8" s="1214" t="str">
        <f t="shared" si="3"/>
        <v>Diesel</v>
      </c>
      <c r="G8" s="1215" t="str">
        <f t="shared" si="3"/>
        <v>Hydrogen</v>
      </c>
      <c r="H8" s="1216" t="str">
        <f t="shared" ref="H8:M8" si="4">INDEX(TECH_OPT_FUEL1_Cls2,MATCH(H6,TECH_OPT_ROWS_Cls2,0))</f>
        <v>Diesel</v>
      </c>
      <c r="I8" s="1214" t="str">
        <f t="shared" si="4"/>
        <v>Diesel</v>
      </c>
      <c r="J8" s="1214" t="str">
        <f t="shared" si="4"/>
        <v>Diesel</v>
      </c>
      <c r="K8" s="1214" t="str">
        <f t="shared" si="4"/>
        <v>Diesel</v>
      </c>
      <c r="L8" s="1214" t="str">
        <f t="shared" si="4"/>
        <v>Electricity</v>
      </c>
      <c r="M8" s="1215" t="str">
        <f t="shared" si="4"/>
        <v>Hydrogen</v>
      </c>
      <c r="N8" s="1213" t="str">
        <f t="shared" ref="N8:S8" si="5">INDEX(TECH_OPT_FUEL1_Cls3,MATCH(N6,TECH_OPT_ROWS_Cls3,0))</f>
        <v>Diesel</v>
      </c>
      <c r="O8" s="1214" t="str">
        <f t="shared" si="5"/>
        <v>Diesel</v>
      </c>
      <c r="P8" s="1214" t="str">
        <f t="shared" si="5"/>
        <v>Diesel</v>
      </c>
      <c r="Q8" s="1214" t="str">
        <f t="shared" si="5"/>
        <v>Diesel</v>
      </c>
      <c r="R8" s="1214" t="str">
        <f t="shared" si="5"/>
        <v>Diesel</v>
      </c>
      <c r="S8" s="1215" t="str">
        <f t="shared" si="5"/>
        <v>Electricity</v>
      </c>
      <c r="T8" s="766"/>
      <c r="U8" s="436"/>
    </row>
    <row r="9" spans="1:26" ht="15.75" thickTop="1" x14ac:dyDescent="0.25">
      <c r="A9" s="421">
        <v>2007</v>
      </c>
      <c r="B9" s="772">
        <f>1-SUM(C9:G9)</f>
        <v>1</v>
      </c>
      <c r="C9" s="773">
        <f>'7&amp;8 Sleep'!$N76+'7&amp;8 Sleep'!$AA76</f>
        <v>0</v>
      </c>
      <c r="D9" s="773">
        <f>'7&amp;8 Sleep'!$N128+'7&amp;8 Sleep'!$AA128</f>
        <v>0</v>
      </c>
      <c r="E9" s="773">
        <f>'7&amp;8 Sleep'!$N180+'7&amp;8 Sleep'!$AA180</f>
        <v>0</v>
      </c>
      <c r="F9" s="773">
        <f>'7&amp;8 Sleep'!$N233+'7&amp;8 Sleep'!$AA233</f>
        <v>0</v>
      </c>
      <c r="G9" s="774">
        <f>'7&amp;8 Sleep'!$N286+'7&amp;8 Sleep'!$AA286</f>
        <v>0</v>
      </c>
      <c r="H9" s="757">
        <f>1-SUM(I9:M9)</f>
        <v>1</v>
      </c>
      <c r="I9" s="757">
        <f>'7&amp;8 Day'!$N76+'7&amp;8 Day'!$AA76</f>
        <v>0</v>
      </c>
      <c r="J9" s="757">
        <f>'7&amp;8 Day'!$N128+'7&amp;8 Day'!$AA128</f>
        <v>0</v>
      </c>
      <c r="K9" s="757">
        <f>'7&amp;8 Day'!$N180+'7&amp;8 Day'!$AA180</f>
        <v>0</v>
      </c>
      <c r="L9" s="757">
        <f>'7&amp;8 Day'!$N233+'7&amp;8 Day'!$AA233</f>
        <v>0</v>
      </c>
      <c r="M9" s="757">
        <f>'7&amp;8 Day'!$N286+'7&amp;8 Day'!$AA286</f>
        <v>0</v>
      </c>
      <c r="N9" s="772">
        <f>1-SUM(O9:S9)</f>
        <v>1</v>
      </c>
      <c r="O9" s="773">
        <f>'7&amp;8 SU'!$N76+'7&amp;8 SU'!$AA76</f>
        <v>0</v>
      </c>
      <c r="P9" s="773">
        <f>'7&amp;8 SU'!$N128+'7&amp;8 SU'!$AA128</f>
        <v>0</v>
      </c>
      <c r="Q9" s="773">
        <f>'7&amp;8 SU'!$N180+'7&amp;8 SU'!$AA180</f>
        <v>0</v>
      </c>
      <c r="R9" s="773">
        <f>'7&amp;8 SU'!$N233+'7&amp;8 SU'!$AA233</f>
        <v>0</v>
      </c>
      <c r="S9" s="774">
        <f>'7&amp;8 SU'!$N286+'7&amp;8 SU'!$AA286</f>
        <v>0</v>
      </c>
      <c r="T9" s="764">
        <f>B9*'Market Data'!$C$52+H9*'Market Data'!$M$52+N9*'Market Data'!$W$52</f>
        <v>1</v>
      </c>
      <c r="U9" s="450">
        <f>SUM(C9:G9)*'Market Data'!$C$52+SUM(I9:M9)*'Market Data'!$M$52+SUM(O9:S9)*'Market Data'!$W$52</f>
        <v>0</v>
      </c>
      <c r="X9" s="122"/>
    </row>
    <row r="10" spans="1:26" ht="15" x14ac:dyDescent="0.25">
      <c r="A10" s="421">
        <v>2008</v>
      </c>
      <c r="B10" s="775">
        <f t="shared" ref="B10:B52" si="6">1-SUM(C10:G10)</f>
        <v>1</v>
      </c>
      <c r="C10" s="776">
        <f>'7&amp;8 Sleep'!$N77+'7&amp;8 Sleep'!$AA77</f>
        <v>0</v>
      </c>
      <c r="D10" s="776">
        <f>'7&amp;8 Sleep'!$N129+'7&amp;8 Sleep'!$AA129</f>
        <v>0</v>
      </c>
      <c r="E10" s="776">
        <f>'7&amp;8 Sleep'!$N181+'7&amp;8 Sleep'!$AA181</f>
        <v>0</v>
      </c>
      <c r="F10" s="776">
        <f>'7&amp;8 Sleep'!$N234+'7&amp;8 Sleep'!$AA234</f>
        <v>0</v>
      </c>
      <c r="G10" s="777">
        <f>'7&amp;8 Sleep'!$N287+'7&amp;8 Sleep'!$AA287</f>
        <v>0</v>
      </c>
      <c r="H10" s="758">
        <f t="shared" ref="H10:H52" si="7">1-SUM(I10:M10)</f>
        <v>1</v>
      </c>
      <c r="I10" s="758">
        <f>'7&amp;8 Day'!$N77+'7&amp;8 Day'!$AA77</f>
        <v>0</v>
      </c>
      <c r="J10" s="758">
        <f>'7&amp;8 Day'!$N129+'7&amp;8 Day'!$AA129</f>
        <v>0</v>
      </c>
      <c r="K10" s="758">
        <f>'7&amp;8 Day'!$N181+'7&amp;8 Day'!$AA181</f>
        <v>0</v>
      </c>
      <c r="L10" s="758">
        <f>'7&amp;8 Day'!$N234+'7&amp;8 Day'!$AA234</f>
        <v>0</v>
      </c>
      <c r="M10" s="758">
        <f>'7&amp;8 Day'!$N287+'7&amp;8 Day'!$AA287</f>
        <v>0</v>
      </c>
      <c r="N10" s="775">
        <f t="shared" ref="N10:N52" si="8">1-SUM(O10:S10)</f>
        <v>1</v>
      </c>
      <c r="O10" s="776">
        <f>'7&amp;8 SU'!$N77+'7&amp;8 SU'!$AA77</f>
        <v>0</v>
      </c>
      <c r="P10" s="776">
        <f>'7&amp;8 SU'!$N129+'7&amp;8 SU'!$AA129</f>
        <v>0</v>
      </c>
      <c r="Q10" s="776">
        <f>'7&amp;8 SU'!$N181+'7&amp;8 SU'!$AA181</f>
        <v>0</v>
      </c>
      <c r="R10" s="776">
        <f>'7&amp;8 SU'!$N234+'7&amp;8 SU'!$AA234</f>
        <v>0</v>
      </c>
      <c r="S10" s="777">
        <f>'7&amp;8 SU'!$N287+'7&amp;8 SU'!$AA287</f>
        <v>0</v>
      </c>
      <c r="T10" s="762">
        <f>B10*'Market Data'!$C$52+H10*'Market Data'!$M$52+N10*'Market Data'!$W$52</f>
        <v>1</v>
      </c>
      <c r="U10" s="443">
        <f>SUM(C10:G10)*'Market Data'!$C$52+SUM(I10:M10)*'Market Data'!$M$52+SUM(O10:S10)*'Market Data'!$W$52</f>
        <v>0</v>
      </c>
      <c r="X10" s="122"/>
    </row>
    <row r="11" spans="1:26" ht="15" x14ac:dyDescent="0.25">
      <c r="A11" s="421">
        <v>2009</v>
      </c>
      <c r="B11" s="775">
        <f t="shared" si="6"/>
        <v>1</v>
      </c>
      <c r="C11" s="776">
        <f>'7&amp;8 Sleep'!$N78+'7&amp;8 Sleep'!$AA78</f>
        <v>0</v>
      </c>
      <c r="D11" s="776">
        <f>'7&amp;8 Sleep'!$N130+'7&amp;8 Sleep'!$AA130</f>
        <v>0</v>
      </c>
      <c r="E11" s="776">
        <f>'7&amp;8 Sleep'!$N182+'7&amp;8 Sleep'!$AA182</f>
        <v>0</v>
      </c>
      <c r="F11" s="776">
        <f>'7&amp;8 Sleep'!$N235+'7&amp;8 Sleep'!$AA235</f>
        <v>0</v>
      </c>
      <c r="G11" s="777">
        <f>'7&amp;8 Sleep'!$N288+'7&amp;8 Sleep'!$AA288</f>
        <v>0</v>
      </c>
      <c r="H11" s="758">
        <f t="shared" si="7"/>
        <v>1</v>
      </c>
      <c r="I11" s="758">
        <f>'7&amp;8 Day'!$N78+'7&amp;8 Day'!$AA78</f>
        <v>0</v>
      </c>
      <c r="J11" s="758">
        <f>'7&amp;8 Day'!$N130+'7&amp;8 Day'!$AA130</f>
        <v>0</v>
      </c>
      <c r="K11" s="758">
        <f>'7&amp;8 Day'!$N182+'7&amp;8 Day'!$AA182</f>
        <v>0</v>
      </c>
      <c r="L11" s="758">
        <f>'7&amp;8 Day'!$N235+'7&amp;8 Day'!$AA235</f>
        <v>0</v>
      </c>
      <c r="M11" s="758">
        <f>'7&amp;8 Day'!$N288+'7&amp;8 Day'!$AA288</f>
        <v>0</v>
      </c>
      <c r="N11" s="775">
        <f t="shared" si="8"/>
        <v>1</v>
      </c>
      <c r="O11" s="776">
        <f>'7&amp;8 SU'!$N78+'7&amp;8 SU'!$AA78</f>
        <v>0</v>
      </c>
      <c r="P11" s="776">
        <f>'7&amp;8 SU'!$N130+'7&amp;8 SU'!$AA130</f>
        <v>0</v>
      </c>
      <c r="Q11" s="776">
        <f>'7&amp;8 SU'!$N182+'7&amp;8 SU'!$AA182</f>
        <v>0</v>
      </c>
      <c r="R11" s="776">
        <f>'7&amp;8 SU'!$N235+'7&amp;8 SU'!$AA235</f>
        <v>0</v>
      </c>
      <c r="S11" s="777">
        <f>'7&amp;8 SU'!$N288+'7&amp;8 SU'!$AA288</f>
        <v>0</v>
      </c>
      <c r="T11" s="762">
        <f>B11*'Market Data'!$C$52+H11*'Market Data'!$M$52+N11*'Market Data'!$W$52</f>
        <v>1</v>
      </c>
      <c r="U11" s="443">
        <f>SUM(C11:G11)*'Market Data'!$C$52+SUM(I11:M11)*'Market Data'!$M$52+SUM(O11:S11)*'Market Data'!$W$52</f>
        <v>0</v>
      </c>
      <c r="X11" s="122"/>
    </row>
    <row r="12" spans="1:26" ht="15" x14ac:dyDescent="0.25">
      <c r="A12" s="420">
        <v>2010</v>
      </c>
      <c r="B12" s="778">
        <f t="shared" si="6"/>
        <v>1</v>
      </c>
      <c r="C12" s="779">
        <f>'7&amp;8 Sleep'!$N79+'7&amp;8 Sleep'!$AA79</f>
        <v>0</v>
      </c>
      <c r="D12" s="779">
        <f>'7&amp;8 Sleep'!$N131+'7&amp;8 Sleep'!$AA131</f>
        <v>0</v>
      </c>
      <c r="E12" s="779">
        <f>'7&amp;8 Sleep'!$N183+'7&amp;8 Sleep'!$AA183</f>
        <v>0</v>
      </c>
      <c r="F12" s="779">
        <f>'7&amp;8 Sleep'!$N236+'7&amp;8 Sleep'!$AA236</f>
        <v>0</v>
      </c>
      <c r="G12" s="780">
        <f>'7&amp;8 Sleep'!$N289+'7&amp;8 Sleep'!$AA289</f>
        <v>0</v>
      </c>
      <c r="H12" s="759">
        <f t="shared" si="7"/>
        <v>1</v>
      </c>
      <c r="I12" s="759">
        <f>'7&amp;8 Day'!$N79+'7&amp;8 Day'!$AA79</f>
        <v>0</v>
      </c>
      <c r="J12" s="759">
        <f>'7&amp;8 Day'!$N131+'7&amp;8 Day'!$AA131</f>
        <v>0</v>
      </c>
      <c r="K12" s="759">
        <f>'7&amp;8 Day'!$N183+'7&amp;8 Day'!$AA183</f>
        <v>0</v>
      </c>
      <c r="L12" s="759">
        <f>'7&amp;8 Day'!$N236+'7&amp;8 Day'!$AA236</f>
        <v>0</v>
      </c>
      <c r="M12" s="759">
        <f>'7&amp;8 Day'!$N289+'7&amp;8 Day'!$AA289</f>
        <v>0</v>
      </c>
      <c r="N12" s="778">
        <f t="shared" si="8"/>
        <v>1</v>
      </c>
      <c r="O12" s="779">
        <f>'7&amp;8 SU'!$N79+'7&amp;8 SU'!$AA79</f>
        <v>0</v>
      </c>
      <c r="P12" s="779">
        <f>'7&amp;8 SU'!$N131+'7&amp;8 SU'!$AA131</f>
        <v>0</v>
      </c>
      <c r="Q12" s="779">
        <f>'7&amp;8 SU'!$N183+'7&amp;8 SU'!$AA183</f>
        <v>0</v>
      </c>
      <c r="R12" s="779">
        <f>'7&amp;8 SU'!$N236+'7&amp;8 SU'!$AA236</f>
        <v>0</v>
      </c>
      <c r="S12" s="780">
        <f>'7&amp;8 SU'!$N289+'7&amp;8 SU'!$AA289</f>
        <v>0</v>
      </c>
      <c r="T12" s="763">
        <f>B12*'Market Data'!$C$52+H12*'Market Data'!$M$52+N12*'Market Data'!$W$52</f>
        <v>1</v>
      </c>
      <c r="U12" s="446">
        <f>SUM(C12:G12)*'Market Data'!$C$52+SUM(I12:M12)*'Market Data'!$M$52+SUM(O12:S12)*'Market Data'!$W$52</f>
        <v>0</v>
      </c>
      <c r="X12" s="122"/>
    </row>
    <row r="13" spans="1:26" ht="15" x14ac:dyDescent="0.25">
      <c r="A13" s="748">
        <v>2011</v>
      </c>
      <c r="B13" s="783">
        <f t="shared" si="6"/>
        <v>1</v>
      </c>
      <c r="C13" s="784">
        <f>'7&amp;8 Sleep'!$N80+'7&amp;8 Sleep'!$AA80</f>
        <v>0</v>
      </c>
      <c r="D13" s="784">
        <f>'7&amp;8 Sleep'!$N132+'7&amp;8 Sleep'!$AA132</f>
        <v>0</v>
      </c>
      <c r="E13" s="784">
        <f>'7&amp;8 Sleep'!$N184+'7&amp;8 Sleep'!$AA184</f>
        <v>0</v>
      </c>
      <c r="F13" s="784">
        <f>'7&amp;8 Sleep'!$N237+'7&amp;8 Sleep'!$AA237</f>
        <v>0</v>
      </c>
      <c r="G13" s="785">
        <f>'7&amp;8 Sleep'!$N290+'7&amp;8 Sleep'!$AA290</f>
        <v>0</v>
      </c>
      <c r="H13" s="760">
        <f t="shared" si="7"/>
        <v>1</v>
      </c>
      <c r="I13" s="760">
        <f>'7&amp;8 Day'!$N80+'7&amp;8 Day'!$AA80</f>
        <v>0</v>
      </c>
      <c r="J13" s="760">
        <f>'7&amp;8 Day'!$N132+'7&amp;8 Day'!$AA132</f>
        <v>0</v>
      </c>
      <c r="K13" s="760">
        <f>'7&amp;8 Day'!$N184+'7&amp;8 Day'!$AA184</f>
        <v>0</v>
      </c>
      <c r="L13" s="760">
        <f>'7&amp;8 Day'!$N237+'7&amp;8 Day'!$AA237</f>
        <v>0</v>
      </c>
      <c r="M13" s="760">
        <f>'7&amp;8 Day'!$N290+'7&amp;8 Day'!$AA290</f>
        <v>0</v>
      </c>
      <c r="N13" s="783">
        <f t="shared" si="8"/>
        <v>1</v>
      </c>
      <c r="O13" s="784">
        <f>'7&amp;8 SU'!$N80+'7&amp;8 SU'!$AA80</f>
        <v>0</v>
      </c>
      <c r="P13" s="784">
        <f>'7&amp;8 SU'!$N132+'7&amp;8 SU'!$AA132</f>
        <v>0</v>
      </c>
      <c r="Q13" s="784">
        <f>'7&amp;8 SU'!$N184+'7&amp;8 SU'!$AA184</f>
        <v>0</v>
      </c>
      <c r="R13" s="784">
        <f>'7&amp;8 SU'!$N237+'7&amp;8 SU'!$AA237</f>
        <v>0</v>
      </c>
      <c r="S13" s="785">
        <f>'7&amp;8 SU'!$N290+'7&amp;8 SU'!$AA290</f>
        <v>0</v>
      </c>
      <c r="T13" s="764">
        <f>B13*'Market Data'!$C$52+H13*'Market Data'!$M$52+N13*'Market Data'!$W$52</f>
        <v>1</v>
      </c>
      <c r="U13" s="450">
        <f>SUM(C13:G13)*'Market Data'!$C$52+SUM(I13:M13)*'Market Data'!$M$52+SUM(O13:S13)*'Market Data'!$W$52</f>
        <v>0</v>
      </c>
      <c r="X13" s="122"/>
    </row>
    <row r="14" spans="1:26" ht="15" x14ac:dyDescent="0.25">
      <c r="A14" s="421">
        <v>2012</v>
      </c>
      <c r="B14" s="775">
        <f t="shared" si="6"/>
        <v>1</v>
      </c>
      <c r="C14" s="776">
        <f>'7&amp;8 Sleep'!$N81+'7&amp;8 Sleep'!$AA81</f>
        <v>0</v>
      </c>
      <c r="D14" s="776">
        <f>'7&amp;8 Sleep'!$N133+'7&amp;8 Sleep'!$AA133</f>
        <v>0</v>
      </c>
      <c r="E14" s="776">
        <f>'7&amp;8 Sleep'!$N185+'7&amp;8 Sleep'!$AA185</f>
        <v>0</v>
      </c>
      <c r="F14" s="776">
        <f>'7&amp;8 Sleep'!$N238+'7&amp;8 Sleep'!$AA238</f>
        <v>0</v>
      </c>
      <c r="G14" s="777">
        <f>'7&amp;8 Sleep'!$N291+'7&amp;8 Sleep'!$AA291</f>
        <v>0</v>
      </c>
      <c r="H14" s="758">
        <f t="shared" si="7"/>
        <v>1</v>
      </c>
      <c r="I14" s="758">
        <f>'7&amp;8 Day'!$N81+'7&amp;8 Day'!$AA81</f>
        <v>0</v>
      </c>
      <c r="J14" s="758">
        <f>'7&amp;8 Day'!$N133+'7&amp;8 Day'!$AA133</f>
        <v>0</v>
      </c>
      <c r="K14" s="758">
        <f>'7&amp;8 Day'!$N185+'7&amp;8 Day'!$AA185</f>
        <v>0</v>
      </c>
      <c r="L14" s="758">
        <f>'7&amp;8 Day'!$N238+'7&amp;8 Day'!$AA238</f>
        <v>0</v>
      </c>
      <c r="M14" s="758">
        <f>'7&amp;8 Day'!$N291+'7&amp;8 Day'!$AA291</f>
        <v>0</v>
      </c>
      <c r="N14" s="775">
        <f t="shared" si="8"/>
        <v>1</v>
      </c>
      <c r="O14" s="776">
        <f>'7&amp;8 SU'!$N81+'7&amp;8 SU'!$AA81</f>
        <v>0</v>
      </c>
      <c r="P14" s="776">
        <f>'7&amp;8 SU'!$N133+'7&amp;8 SU'!$AA133</f>
        <v>0</v>
      </c>
      <c r="Q14" s="776">
        <f>'7&amp;8 SU'!$N185+'7&amp;8 SU'!$AA185</f>
        <v>0</v>
      </c>
      <c r="R14" s="776">
        <f>'7&amp;8 SU'!$N238+'7&amp;8 SU'!$AA238</f>
        <v>0</v>
      </c>
      <c r="S14" s="777">
        <f>'7&amp;8 SU'!$N291+'7&amp;8 SU'!$AA291</f>
        <v>0</v>
      </c>
      <c r="T14" s="762">
        <f>B14*'Market Data'!$C$52+H14*'Market Data'!$M$52+N14*'Market Data'!$W$52</f>
        <v>1</v>
      </c>
      <c r="U14" s="443">
        <f>SUM(C14:G14)*'Market Data'!$C$52+SUM(I14:M14)*'Market Data'!$M$52+SUM(O14:S14)*'Market Data'!$W$52</f>
        <v>0</v>
      </c>
      <c r="X14" s="122"/>
    </row>
    <row r="15" spans="1:26" ht="15" x14ac:dyDescent="0.25">
      <c r="A15" s="421">
        <v>2013</v>
      </c>
      <c r="B15" s="775">
        <f t="shared" si="6"/>
        <v>1</v>
      </c>
      <c r="C15" s="776">
        <f>'7&amp;8 Sleep'!$N82+'7&amp;8 Sleep'!$AA82</f>
        <v>0</v>
      </c>
      <c r="D15" s="776">
        <f>'7&amp;8 Sleep'!$N134+'7&amp;8 Sleep'!$AA134</f>
        <v>0</v>
      </c>
      <c r="E15" s="776">
        <f>'7&amp;8 Sleep'!$N186+'7&amp;8 Sleep'!$AA186</f>
        <v>0</v>
      </c>
      <c r="F15" s="776">
        <f>'7&amp;8 Sleep'!$N239+'7&amp;8 Sleep'!$AA239</f>
        <v>0</v>
      </c>
      <c r="G15" s="777">
        <f>'7&amp;8 Sleep'!$N292+'7&amp;8 Sleep'!$AA292</f>
        <v>0</v>
      </c>
      <c r="H15" s="758">
        <f t="shared" si="7"/>
        <v>1</v>
      </c>
      <c r="I15" s="758">
        <f>'7&amp;8 Day'!$N82+'7&amp;8 Day'!$AA82</f>
        <v>0</v>
      </c>
      <c r="J15" s="758">
        <f>'7&amp;8 Day'!$N134+'7&amp;8 Day'!$AA134</f>
        <v>0</v>
      </c>
      <c r="K15" s="758">
        <f>'7&amp;8 Day'!$N186+'7&amp;8 Day'!$AA186</f>
        <v>0</v>
      </c>
      <c r="L15" s="758">
        <f>'7&amp;8 Day'!$N239+'7&amp;8 Day'!$AA239</f>
        <v>0</v>
      </c>
      <c r="M15" s="758">
        <f>'7&amp;8 Day'!$N292+'7&amp;8 Day'!$AA292</f>
        <v>0</v>
      </c>
      <c r="N15" s="775">
        <f t="shared" si="8"/>
        <v>1</v>
      </c>
      <c r="O15" s="776">
        <f>'7&amp;8 SU'!$N82+'7&amp;8 SU'!$AA82</f>
        <v>0</v>
      </c>
      <c r="P15" s="776">
        <f>'7&amp;8 SU'!$N134+'7&amp;8 SU'!$AA134</f>
        <v>0</v>
      </c>
      <c r="Q15" s="776">
        <f>'7&amp;8 SU'!$N186+'7&amp;8 SU'!$AA186</f>
        <v>0</v>
      </c>
      <c r="R15" s="776">
        <f>'7&amp;8 SU'!$N239+'7&amp;8 SU'!$AA239</f>
        <v>0</v>
      </c>
      <c r="S15" s="777">
        <f>'7&amp;8 SU'!$N292+'7&amp;8 SU'!$AA292</f>
        <v>0</v>
      </c>
      <c r="T15" s="762">
        <f>B15*'Market Data'!$C$52+H15*'Market Data'!$M$52+N15*'Market Data'!$W$52</f>
        <v>1</v>
      </c>
      <c r="U15" s="443">
        <f>SUM(C15:G15)*'Market Data'!$C$52+SUM(I15:M15)*'Market Data'!$M$52+SUM(O15:S15)*'Market Data'!$W$52</f>
        <v>0</v>
      </c>
      <c r="X15" s="122"/>
    </row>
    <row r="16" spans="1:26" ht="15" x14ac:dyDescent="0.25">
      <c r="A16" s="421">
        <v>2014</v>
      </c>
      <c r="B16" s="775">
        <f t="shared" si="6"/>
        <v>1</v>
      </c>
      <c r="C16" s="776">
        <f>'7&amp;8 Sleep'!$N83+'7&amp;8 Sleep'!$AA83</f>
        <v>0</v>
      </c>
      <c r="D16" s="776">
        <f>'7&amp;8 Sleep'!$N135+'7&amp;8 Sleep'!$AA135</f>
        <v>0</v>
      </c>
      <c r="E16" s="776">
        <f>'7&amp;8 Sleep'!$N187+'7&amp;8 Sleep'!$AA187</f>
        <v>0</v>
      </c>
      <c r="F16" s="776">
        <f>'7&amp;8 Sleep'!$N240+'7&amp;8 Sleep'!$AA240</f>
        <v>0</v>
      </c>
      <c r="G16" s="777">
        <f>'7&amp;8 Sleep'!$N293+'7&amp;8 Sleep'!$AA293</f>
        <v>0</v>
      </c>
      <c r="H16" s="758">
        <f t="shared" si="7"/>
        <v>1</v>
      </c>
      <c r="I16" s="758">
        <f>'7&amp;8 Day'!$N83+'7&amp;8 Day'!$AA83</f>
        <v>0</v>
      </c>
      <c r="J16" s="758">
        <f>'7&amp;8 Day'!$N135+'7&amp;8 Day'!$AA135</f>
        <v>0</v>
      </c>
      <c r="K16" s="758">
        <f>'7&amp;8 Day'!$N187+'7&amp;8 Day'!$AA187</f>
        <v>0</v>
      </c>
      <c r="L16" s="758">
        <f>'7&amp;8 Day'!$N240+'7&amp;8 Day'!$AA240</f>
        <v>0</v>
      </c>
      <c r="M16" s="758">
        <f>'7&amp;8 Day'!$N293+'7&amp;8 Day'!$AA293</f>
        <v>0</v>
      </c>
      <c r="N16" s="775">
        <f t="shared" si="8"/>
        <v>1</v>
      </c>
      <c r="O16" s="776">
        <f>'7&amp;8 SU'!$N83+'7&amp;8 SU'!$AA83</f>
        <v>0</v>
      </c>
      <c r="P16" s="776">
        <f>'7&amp;8 SU'!$N135+'7&amp;8 SU'!$AA135</f>
        <v>0</v>
      </c>
      <c r="Q16" s="776">
        <f>'7&amp;8 SU'!$N187+'7&amp;8 SU'!$AA187</f>
        <v>0</v>
      </c>
      <c r="R16" s="776">
        <f>'7&amp;8 SU'!$N240+'7&amp;8 SU'!$AA240</f>
        <v>0</v>
      </c>
      <c r="S16" s="777">
        <f>'7&amp;8 SU'!$N293+'7&amp;8 SU'!$AA293</f>
        <v>0</v>
      </c>
      <c r="T16" s="762">
        <f>B16*'Market Data'!$C$52+H16*'Market Data'!$M$52+N16*'Market Data'!$W$52</f>
        <v>1</v>
      </c>
      <c r="U16" s="443">
        <f>SUM(C16:G16)*'Market Data'!$C$52+SUM(I16:M16)*'Market Data'!$M$52+SUM(O16:S16)*'Market Data'!$W$52</f>
        <v>0</v>
      </c>
      <c r="X16" s="122"/>
    </row>
    <row r="17" spans="1:26" ht="15" x14ac:dyDescent="0.25">
      <c r="A17" s="420">
        <v>2015</v>
      </c>
      <c r="B17" s="778">
        <f t="shared" si="6"/>
        <v>1</v>
      </c>
      <c r="C17" s="779">
        <f>'7&amp;8 Sleep'!$N84+'7&amp;8 Sleep'!$AA84</f>
        <v>0</v>
      </c>
      <c r="D17" s="779">
        <f>'7&amp;8 Sleep'!$N136+'7&amp;8 Sleep'!$AA136</f>
        <v>0</v>
      </c>
      <c r="E17" s="779">
        <f>'7&amp;8 Sleep'!$N188+'7&amp;8 Sleep'!$AA188</f>
        <v>0</v>
      </c>
      <c r="F17" s="779">
        <f>'7&amp;8 Sleep'!$N241+'7&amp;8 Sleep'!$AA241</f>
        <v>0</v>
      </c>
      <c r="G17" s="780">
        <f>'7&amp;8 Sleep'!$N294+'7&amp;8 Sleep'!$AA294</f>
        <v>0</v>
      </c>
      <c r="H17" s="759">
        <f t="shared" si="7"/>
        <v>1</v>
      </c>
      <c r="I17" s="759">
        <f>'7&amp;8 Day'!$N84+'7&amp;8 Day'!$AA84</f>
        <v>0</v>
      </c>
      <c r="J17" s="759">
        <f>'7&amp;8 Day'!$N136+'7&amp;8 Day'!$AA136</f>
        <v>0</v>
      </c>
      <c r="K17" s="759">
        <f>'7&amp;8 Day'!$N188+'7&amp;8 Day'!$AA188</f>
        <v>0</v>
      </c>
      <c r="L17" s="759">
        <f>'7&amp;8 Day'!$N241+'7&amp;8 Day'!$AA241</f>
        <v>0</v>
      </c>
      <c r="M17" s="759">
        <f>'7&amp;8 Day'!$N294+'7&amp;8 Day'!$AA294</f>
        <v>0</v>
      </c>
      <c r="N17" s="778">
        <f t="shared" si="8"/>
        <v>1</v>
      </c>
      <c r="O17" s="779">
        <f>'7&amp;8 SU'!$N84+'7&amp;8 SU'!$AA84</f>
        <v>0</v>
      </c>
      <c r="P17" s="779">
        <f>'7&amp;8 SU'!$N136+'7&amp;8 SU'!$AA136</f>
        <v>0</v>
      </c>
      <c r="Q17" s="779">
        <f>'7&amp;8 SU'!$N188+'7&amp;8 SU'!$AA188</f>
        <v>0</v>
      </c>
      <c r="R17" s="779">
        <f>'7&amp;8 SU'!$N241+'7&amp;8 SU'!$AA241</f>
        <v>0</v>
      </c>
      <c r="S17" s="780">
        <f>'7&amp;8 SU'!$N294+'7&amp;8 SU'!$AA294</f>
        <v>0</v>
      </c>
      <c r="T17" s="763">
        <f>B17*'Market Data'!$C$52+H17*'Market Data'!$M$52+N17*'Market Data'!$W$52</f>
        <v>1</v>
      </c>
      <c r="U17" s="446">
        <f>SUM(C17:G17)*'Market Data'!$C$52+SUM(I17:M17)*'Market Data'!$M$52+SUM(O17:S17)*'Market Data'!$W$52</f>
        <v>0</v>
      </c>
      <c r="X17" s="122"/>
    </row>
    <row r="18" spans="1:26" ht="15" x14ac:dyDescent="0.25">
      <c r="A18" s="748">
        <v>2016</v>
      </c>
      <c r="B18" s="783">
        <f t="shared" si="6"/>
        <v>1</v>
      </c>
      <c r="C18" s="784">
        <f>'7&amp;8 Sleep'!$N85+'7&amp;8 Sleep'!$AA85</f>
        <v>0</v>
      </c>
      <c r="D18" s="784">
        <f>'7&amp;8 Sleep'!$N137+'7&amp;8 Sleep'!$AA137</f>
        <v>0</v>
      </c>
      <c r="E18" s="784">
        <f>'7&amp;8 Sleep'!$N189+'7&amp;8 Sleep'!$AA189</f>
        <v>0</v>
      </c>
      <c r="F18" s="784">
        <f>'7&amp;8 Sleep'!$N242+'7&amp;8 Sleep'!$AA242</f>
        <v>0</v>
      </c>
      <c r="G18" s="785">
        <f>'7&amp;8 Sleep'!$N295+'7&amp;8 Sleep'!$AA295</f>
        <v>0</v>
      </c>
      <c r="H18" s="760">
        <f t="shared" si="7"/>
        <v>1</v>
      </c>
      <c r="I18" s="760">
        <f>'7&amp;8 Day'!$N85+'7&amp;8 Day'!$AA85</f>
        <v>0</v>
      </c>
      <c r="J18" s="760">
        <f>'7&amp;8 Day'!$N137+'7&amp;8 Day'!$AA137</f>
        <v>0</v>
      </c>
      <c r="K18" s="760">
        <f>'7&amp;8 Day'!$N189+'7&amp;8 Day'!$AA189</f>
        <v>0</v>
      </c>
      <c r="L18" s="760">
        <f>'7&amp;8 Day'!$N242+'7&amp;8 Day'!$AA242</f>
        <v>0</v>
      </c>
      <c r="M18" s="760">
        <f>'7&amp;8 Day'!$N295+'7&amp;8 Day'!$AA295</f>
        <v>0</v>
      </c>
      <c r="N18" s="783">
        <f t="shared" si="8"/>
        <v>1</v>
      </c>
      <c r="O18" s="784">
        <f>'7&amp;8 SU'!$N85+'7&amp;8 SU'!$AA85</f>
        <v>0</v>
      </c>
      <c r="P18" s="784">
        <f>'7&amp;8 SU'!$N137+'7&amp;8 SU'!$AA137</f>
        <v>0</v>
      </c>
      <c r="Q18" s="784">
        <f>'7&amp;8 SU'!$N189+'7&amp;8 SU'!$AA189</f>
        <v>0</v>
      </c>
      <c r="R18" s="784">
        <f>'7&amp;8 SU'!$N242+'7&amp;8 SU'!$AA242</f>
        <v>0</v>
      </c>
      <c r="S18" s="785">
        <f>'7&amp;8 SU'!$N295+'7&amp;8 SU'!$AA295</f>
        <v>0</v>
      </c>
      <c r="T18" s="764">
        <f>B18*'Market Data'!$C$52+H18*'Market Data'!$M$52+N18*'Market Data'!$W$52</f>
        <v>1</v>
      </c>
      <c r="U18" s="450">
        <f>SUM(C18:G18)*'Market Data'!$C$52+SUM(I18:M18)*'Market Data'!$M$52+SUM(O18:S18)*'Market Data'!$W$52</f>
        <v>0</v>
      </c>
      <c r="X18" s="122"/>
    </row>
    <row r="19" spans="1:26" ht="15" x14ac:dyDescent="0.25">
      <c r="A19" s="421">
        <v>2017</v>
      </c>
      <c r="B19" s="775">
        <f t="shared" si="6"/>
        <v>1</v>
      </c>
      <c r="C19" s="776">
        <f>'7&amp;8 Sleep'!$N86+'7&amp;8 Sleep'!$AA86</f>
        <v>0</v>
      </c>
      <c r="D19" s="776">
        <f>'7&amp;8 Sleep'!$N138+'7&amp;8 Sleep'!$AA138</f>
        <v>0</v>
      </c>
      <c r="E19" s="776">
        <f>'7&amp;8 Sleep'!$N190+'7&amp;8 Sleep'!$AA190</f>
        <v>0</v>
      </c>
      <c r="F19" s="776">
        <f>'7&amp;8 Sleep'!$N243+'7&amp;8 Sleep'!$AA243</f>
        <v>0</v>
      </c>
      <c r="G19" s="777">
        <f>'7&amp;8 Sleep'!$N296+'7&amp;8 Sleep'!$AA296</f>
        <v>0</v>
      </c>
      <c r="H19" s="758">
        <f t="shared" si="7"/>
        <v>1</v>
      </c>
      <c r="I19" s="758">
        <f>'7&amp;8 Day'!$N86+'7&amp;8 Day'!$AA86</f>
        <v>0</v>
      </c>
      <c r="J19" s="758">
        <f>'7&amp;8 Day'!$N138+'7&amp;8 Day'!$AA138</f>
        <v>0</v>
      </c>
      <c r="K19" s="758">
        <f>'7&amp;8 Day'!$N190+'7&amp;8 Day'!$AA190</f>
        <v>0</v>
      </c>
      <c r="L19" s="758">
        <f>'7&amp;8 Day'!$N243+'7&amp;8 Day'!$AA243</f>
        <v>0</v>
      </c>
      <c r="M19" s="758">
        <f>'7&amp;8 Day'!$N296+'7&amp;8 Day'!$AA296</f>
        <v>0</v>
      </c>
      <c r="N19" s="775">
        <f t="shared" si="8"/>
        <v>1</v>
      </c>
      <c r="O19" s="776">
        <f>'7&amp;8 SU'!$N86+'7&amp;8 SU'!$AA86</f>
        <v>0</v>
      </c>
      <c r="P19" s="776">
        <f>'7&amp;8 SU'!$N138+'7&amp;8 SU'!$AA138</f>
        <v>0</v>
      </c>
      <c r="Q19" s="776">
        <f>'7&amp;8 SU'!$N190+'7&amp;8 SU'!$AA190</f>
        <v>0</v>
      </c>
      <c r="R19" s="776">
        <f>'7&amp;8 SU'!$N243+'7&amp;8 SU'!$AA243</f>
        <v>0</v>
      </c>
      <c r="S19" s="777">
        <f>'7&amp;8 SU'!$N296+'7&amp;8 SU'!$AA296</f>
        <v>0</v>
      </c>
      <c r="T19" s="762">
        <f>B19*'Market Data'!$C$52+H19*'Market Data'!$M$52+N19*'Market Data'!$W$52</f>
        <v>1</v>
      </c>
      <c r="U19" s="443">
        <f>SUM(C19:G19)*'Market Data'!$C$52+SUM(I19:M19)*'Market Data'!$M$52+SUM(O19:S19)*'Market Data'!$W$52</f>
        <v>0</v>
      </c>
      <c r="X19" s="122"/>
    </row>
    <row r="20" spans="1:26" ht="15" x14ac:dyDescent="0.25">
      <c r="A20" s="421">
        <v>2018</v>
      </c>
      <c r="B20" s="775">
        <f t="shared" si="6"/>
        <v>1</v>
      </c>
      <c r="C20" s="776">
        <f>'7&amp;8 Sleep'!$N87+'7&amp;8 Sleep'!$AA87</f>
        <v>0</v>
      </c>
      <c r="D20" s="776">
        <f>'7&amp;8 Sleep'!$N139+'7&amp;8 Sleep'!$AA139</f>
        <v>0</v>
      </c>
      <c r="E20" s="776">
        <f>'7&amp;8 Sleep'!$N191+'7&amp;8 Sleep'!$AA191</f>
        <v>0</v>
      </c>
      <c r="F20" s="776">
        <f>'7&amp;8 Sleep'!$N244+'7&amp;8 Sleep'!$AA244</f>
        <v>0</v>
      </c>
      <c r="G20" s="777">
        <f>'7&amp;8 Sleep'!$N297+'7&amp;8 Sleep'!$AA297</f>
        <v>0</v>
      </c>
      <c r="H20" s="758">
        <f t="shared" si="7"/>
        <v>1</v>
      </c>
      <c r="I20" s="758">
        <f>'7&amp;8 Day'!$N87+'7&amp;8 Day'!$AA87</f>
        <v>0</v>
      </c>
      <c r="J20" s="758">
        <f>'7&amp;8 Day'!$N139+'7&amp;8 Day'!$AA139</f>
        <v>0</v>
      </c>
      <c r="K20" s="758">
        <f>'7&amp;8 Day'!$N191+'7&amp;8 Day'!$AA191</f>
        <v>0</v>
      </c>
      <c r="L20" s="758">
        <f>'7&amp;8 Day'!$N244+'7&amp;8 Day'!$AA244</f>
        <v>0</v>
      </c>
      <c r="M20" s="758">
        <f>'7&amp;8 Day'!$N297+'7&amp;8 Day'!$AA297</f>
        <v>0</v>
      </c>
      <c r="N20" s="775">
        <f t="shared" si="8"/>
        <v>1</v>
      </c>
      <c r="O20" s="776">
        <f>'7&amp;8 SU'!$N87+'7&amp;8 SU'!$AA87</f>
        <v>0</v>
      </c>
      <c r="P20" s="776">
        <f>'7&amp;8 SU'!$N139+'7&amp;8 SU'!$AA139</f>
        <v>0</v>
      </c>
      <c r="Q20" s="776">
        <f>'7&amp;8 SU'!$N191+'7&amp;8 SU'!$AA191</f>
        <v>0</v>
      </c>
      <c r="R20" s="776">
        <f>'7&amp;8 SU'!$N244+'7&amp;8 SU'!$AA244</f>
        <v>0</v>
      </c>
      <c r="S20" s="777">
        <f>'7&amp;8 SU'!$N297+'7&amp;8 SU'!$AA297</f>
        <v>0</v>
      </c>
      <c r="T20" s="762">
        <f>B20*'Market Data'!$C$52+H20*'Market Data'!$M$52+N20*'Market Data'!$W$52</f>
        <v>1</v>
      </c>
      <c r="U20" s="443">
        <f>SUM(C20:G20)*'Market Data'!$C$52+SUM(I20:M20)*'Market Data'!$M$52+SUM(O20:S20)*'Market Data'!$W$52</f>
        <v>0</v>
      </c>
      <c r="V20" s="443">
        <f>D20*'Market Data'!$C$52+J20*'Market Data'!$M$52+P20*'Market Data'!$W$52</f>
        <v>0</v>
      </c>
      <c r="W20" s="443">
        <f>E20*'Market Data'!$C$52+Q20*'Market Data'!$W$52</f>
        <v>0</v>
      </c>
      <c r="X20" s="443">
        <f>F20*'Market Data'!$C$52+L20*'Market Data'!$M$52</f>
        <v>0</v>
      </c>
      <c r="Y20" s="443">
        <f>K20*'Market Data'!$M$52+R20*'Market Data'!$W$52</f>
        <v>0</v>
      </c>
      <c r="Z20" s="1397">
        <f>1-SUM(V20:Y20)</f>
        <v>1</v>
      </c>
    </row>
    <row r="21" spans="1:26" ht="15" x14ac:dyDescent="0.25">
      <c r="A21" s="421">
        <v>2019</v>
      </c>
      <c r="B21" s="775">
        <f t="shared" si="6"/>
        <v>1</v>
      </c>
      <c r="C21" s="776">
        <f>'7&amp;8 Sleep'!$N88+'7&amp;8 Sleep'!$AA88</f>
        <v>0</v>
      </c>
      <c r="D21" s="776">
        <f>'7&amp;8 Sleep'!$N140+'7&amp;8 Sleep'!$AA140</f>
        <v>0</v>
      </c>
      <c r="E21" s="776">
        <f>'7&amp;8 Sleep'!$N192+'7&amp;8 Sleep'!$AA192</f>
        <v>0</v>
      </c>
      <c r="F21" s="776">
        <f>'7&amp;8 Sleep'!$N245+'7&amp;8 Sleep'!$AA245</f>
        <v>0</v>
      </c>
      <c r="G21" s="777">
        <f>'7&amp;8 Sleep'!$N298+'7&amp;8 Sleep'!$AA298</f>
        <v>0</v>
      </c>
      <c r="H21" s="758">
        <f t="shared" si="7"/>
        <v>1</v>
      </c>
      <c r="I21" s="758">
        <f>'7&amp;8 Day'!$N88+'7&amp;8 Day'!$AA88</f>
        <v>0</v>
      </c>
      <c r="J21" s="758">
        <f>'7&amp;8 Day'!$N140+'7&amp;8 Day'!$AA140</f>
        <v>0</v>
      </c>
      <c r="K21" s="758">
        <f>'7&amp;8 Day'!$N192+'7&amp;8 Day'!$AA192</f>
        <v>0</v>
      </c>
      <c r="L21" s="758">
        <f>'7&amp;8 Day'!$N245+'7&amp;8 Day'!$AA245</f>
        <v>0</v>
      </c>
      <c r="M21" s="758">
        <f>'7&amp;8 Day'!$N298+'7&amp;8 Day'!$AA298</f>
        <v>0</v>
      </c>
      <c r="N21" s="775">
        <f t="shared" si="8"/>
        <v>1</v>
      </c>
      <c r="O21" s="776">
        <f>'7&amp;8 SU'!$N88+'7&amp;8 SU'!$AA88</f>
        <v>0</v>
      </c>
      <c r="P21" s="776">
        <f>'7&amp;8 SU'!$N140+'7&amp;8 SU'!$AA140</f>
        <v>0</v>
      </c>
      <c r="Q21" s="776">
        <f>'7&amp;8 SU'!$N192+'7&amp;8 SU'!$AA192</f>
        <v>0</v>
      </c>
      <c r="R21" s="776">
        <f>'7&amp;8 SU'!$N245+'7&amp;8 SU'!$AA245</f>
        <v>0</v>
      </c>
      <c r="S21" s="777">
        <f>'7&amp;8 SU'!$N298+'7&amp;8 SU'!$AA298</f>
        <v>0</v>
      </c>
      <c r="T21" s="762">
        <f>B21*'Market Data'!$C$52+H21*'Market Data'!$M$52+N21*'Market Data'!$W$52</f>
        <v>1</v>
      </c>
      <c r="U21" s="443">
        <f>SUM(C21:G21)*'Market Data'!$C$52+SUM(I21:M21)*'Market Data'!$M$52+SUM(O21:S21)*'Market Data'!$W$52</f>
        <v>0</v>
      </c>
      <c r="X21" s="122"/>
    </row>
    <row r="22" spans="1:26" ht="15" x14ac:dyDescent="0.25">
      <c r="A22" s="420">
        <v>2020</v>
      </c>
      <c r="B22" s="778">
        <f t="shared" si="6"/>
        <v>1</v>
      </c>
      <c r="C22" s="779">
        <f>'7&amp;8 Sleep'!$N89+'7&amp;8 Sleep'!$AA89</f>
        <v>0</v>
      </c>
      <c r="D22" s="779">
        <f>'7&amp;8 Sleep'!$N141+'7&amp;8 Sleep'!$AA141</f>
        <v>0</v>
      </c>
      <c r="E22" s="779">
        <f>'7&amp;8 Sleep'!$N193+'7&amp;8 Sleep'!$AA193</f>
        <v>0</v>
      </c>
      <c r="F22" s="779">
        <f>'7&amp;8 Sleep'!$N246+'7&amp;8 Sleep'!$AA246</f>
        <v>0</v>
      </c>
      <c r="G22" s="780">
        <f>'7&amp;8 Sleep'!$N299+'7&amp;8 Sleep'!$AA299</f>
        <v>0</v>
      </c>
      <c r="H22" s="759">
        <f t="shared" si="7"/>
        <v>1</v>
      </c>
      <c r="I22" s="759">
        <f>'7&amp;8 Day'!$N89+'7&amp;8 Day'!$AA89</f>
        <v>0</v>
      </c>
      <c r="J22" s="759">
        <f>'7&amp;8 Day'!$N141+'7&amp;8 Day'!$AA141</f>
        <v>0</v>
      </c>
      <c r="K22" s="759">
        <f>'7&amp;8 Day'!$N193+'7&amp;8 Day'!$AA193</f>
        <v>0</v>
      </c>
      <c r="L22" s="759">
        <f>'7&amp;8 Day'!$N246+'7&amp;8 Day'!$AA246</f>
        <v>0</v>
      </c>
      <c r="M22" s="759">
        <f>'7&amp;8 Day'!$N299+'7&amp;8 Day'!$AA299</f>
        <v>0</v>
      </c>
      <c r="N22" s="778">
        <f t="shared" si="8"/>
        <v>1</v>
      </c>
      <c r="O22" s="779">
        <f>'7&amp;8 SU'!$N89+'7&amp;8 SU'!$AA89</f>
        <v>0</v>
      </c>
      <c r="P22" s="779">
        <f>'7&amp;8 SU'!$N141+'7&amp;8 SU'!$AA141</f>
        <v>0</v>
      </c>
      <c r="Q22" s="779">
        <f>'7&amp;8 SU'!$N193+'7&amp;8 SU'!$AA193</f>
        <v>0</v>
      </c>
      <c r="R22" s="779">
        <f>'7&amp;8 SU'!$N246+'7&amp;8 SU'!$AA246</f>
        <v>0</v>
      </c>
      <c r="S22" s="780">
        <f>'7&amp;8 SU'!$N299+'7&amp;8 SU'!$AA299</f>
        <v>0</v>
      </c>
      <c r="T22" s="763">
        <f>B22*'Market Data'!$C$52+H22*'Market Data'!$M$52+N22*'Market Data'!$W$52</f>
        <v>1</v>
      </c>
      <c r="U22" s="446">
        <f>SUM(C22:G22)*'Market Data'!$C$52+SUM(I22:M22)*'Market Data'!$M$52+SUM(O22:S22)*'Market Data'!$W$52</f>
        <v>0</v>
      </c>
      <c r="X22" s="122"/>
    </row>
    <row r="23" spans="1:26" ht="15" x14ac:dyDescent="0.25">
      <c r="A23" s="748">
        <v>2021</v>
      </c>
      <c r="B23" s="783">
        <f t="shared" si="6"/>
        <v>0.95654086901128665</v>
      </c>
      <c r="C23" s="784">
        <f>'7&amp;8 Sleep'!$N90+'7&amp;8 Sleep'!$AA90</f>
        <v>2.8067212193927625E-2</v>
      </c>
      <c r="D23" s="784">
        <f>'7&amp;8 Sleep'!$N142+'7&amp;8 Sleep'!$AA142</f>
        <v>1.5391918794785768E-2</v>
      </c>
      <c r="E23" s="784">
        <f>'7&amp;8 Sleep'!$N194+'7&amp;8 Sleep'!$AA194</f>
        <v>0</v>
      </c>
      <c r="F23" s="784">
        <f>'7&amp;8 Sleep'!$N247+'7&amp;8 Sleep'!$AA247</f>
        <v>0</v>
      </c>
      <c r="G23" s="785">
        <f>'7&amp;8 Sleep'!$N300+'7&amp;8 Sleep'!$AA300</f>
        <v>0</v>
      </c>
      <c r="H23" s="760">
        <f t="shared" si="7"/>
        <v>0.96722377583812225</v>
      </c>
      <c r="I23" s="760">
        <f>'7&amp;8 Day'!$N90+'7&amp;8 Day'!$AA90</f>
        <v>1.9320974503154918E-2</v>
      </c>
      <c r="J23" s="760">
        <f>'7&amp;8 Day'!$N142+'7&amp;8 Day'!$AA142</f>
        <v>1.3455249658722822E-2</v>
      </c>
      <c r="K23" s="760">
        <f>'7&amp;8 Day'!$N194+'7&amp;8 Day'!$AA194</f>
        <v>0</v>
      </c>
      <c r="L23" s="760">
        <f>'7&amp;8 Day'!$N247+'7&amp;8 Day'!$AA247</f>
        <v>0</v>
      </c>
      <c r="M23" s="760">
        <f>'7&amp;8 Day'!$N300+'7&amp;8 Day'!$AA300</f>
        <v>0</v>
      </c>
      <c r="N23" s="783">
        <f t="shared" si="8"/>
        <v>1</v>
      </c>
      <c r="O23" s="784">
        <f>'7&amp;8 SU'!$N90+'7&amp;8 SU'!$AA90</f>
        <v>0</v>
      </c>
      <c r="P23" s="784">
        <f>'7&amp;8 SU'!$N142+'7&amp;8 SU'!$AA142</f>
        <v>0</v>
      </c>
      <c r="Q23" s="784">
        <f>'7&amp;8 SU'!$N194+'7&amp;8 SU'!$AA194</f>
        <v>0</v>
      </c>
      <c r="R23" s="784">
        <f>'7&amp;8 SU'!$N247+'7&amp;8 SU'!$AA247</f>
        <v>0</v>
      </c>
      <c r="S23" s="785">
        <f>'7&amp;8 SU'!$N300+'7&amp;8 SU'!$AA300</f>
        <v>0</v>
      </c>
      <c r="T23" s="764">
        <f>B23*'Market Data'!$C$52+H23*'Market Data'!$M$52+N23*'Market Data'!$W$52</f>
        <v>0.97091607017662529</v>
      </c>
      <c r="U23" s="450">
        <f>SUM(C23:G23)*'Market Data'!$C$52+SUM(I23:M23)*'Market Data'!$M$52+SUM(O23:S23)*'Market Data'!$W$52</f>
        <v>2.9083929823374675E-2</v>
      </c>
      <c r="X23" s="122"/>
    </row>
    <row r="24" spans="1:26" ht="15" x14ac:dyDescent="0.25">
      <c r="A24" s="421">
        <v>2022</v>
      </c>
      <c r="B24" s="775">
        <f t="shared" si="6"/>
        <v>0.89236548552737205</v>
      </c>
      <c r="C24" s="776">
        <f>'7&amp;8 Sleep'!$N91+'7&amp;8 Sleep'!$AA91</f>
        <v>6.2367304147263984E-2</v>
      </c>
      <c r="D24" s="776">
        <f>'7&amp;8 Sleep'!$N143+'7&amp;8 Sleep'!$AA143</f>
        <v>4.5263831483943168E-2</v>
      </c>
      <c r="E24" s="776">
        <f>'7&amp;8 Sleep'!$N195+'7&amp;8 Sleep'!$AA195</f>
        <v>3.3788414208377051E-6</v>
      </c>
      <c r="F24" s="776">
        <f>'7&amp;8 Sleep'!$N248+'7&amp;8 Sleep'!$AA248</f>
        <v>0</v>
      </c>
      <c r="G24" s="777">
        <f>'7&amp;8 Sleep'!$N301+'7&amp;8 Sleep'!$AA301</f>
        <v>0</v>
      </c>
      <c r="H24" s="758">
        <f t="shared" si="7"/>
        <v>0.91998944922009152</v>
      </c>
      <c r="I24" s="758">
        <f>'7&amp;8 Day'!$N91+'7&amp;8 Day'!$AA91</f>
        <v>4.7683075961626464E-2</v>
      </c>
      <c r="J24" s="758">
        <f>'7&amp;8 Day'!$N143+'7&amp;8 Day'!$AA143</f>
        <v>3.232747481828202E-2</v>
      </c>
      <c r="K24" s="758">
        <f>'7&amp;8 Day'!$N195+'7&amp;8 Day'!$AA195</f>
        <v>0</v>
      </c>
      <c r="L24" s="758">
        <f>'7&amp;8 Day'!$N248+'7&amp;8 Day'!$AA248</f>
        <v>0</v>
      </c>
      <c r="M24" s="758">
        <f>'7&amp;8 Day'!$N301+'7&amp;8 Day'!$AA301</f>
        <v>0</v>
      </c>
      <c r="N24" s="775">
        <f t="shared" si="8"/>
        <v>0.97335594385702784</v>
      </c>
      <c r="O24" s="776">
        <f>'7&amp;8 SU'!$N91+'7&amp;8 SU'!$AA91</f>
        <v>1.2547673097191039E-2</v>
      </c>
      <c r="P24" s="776">
        <f>'7&amp;8 SU'!$N143+'7&amp;8 SU'!$AA143</f>
        <v>1.3404440663541045E-2</v>
      </c>
      <c r="Q24" s="776">
        <f>'7&amp;8 SU'!$N195+'7&amp;8 SU'!$AA195</f>
        <v>6.9194238224012505E-4</v>
      </c>
      <c r="R24" s="776">
        <f>'7&amp;8 SU'!$N248+'7&amp;8 SU'!$AA248</f>
        <v>0</v>
      </c>
      <c r="S24" s="777">
        <f>'7&amp;8 SU'!$N301+'7&amp;8 SU'!$AA301</f>
        <v>0</v>
      </c>
      <c r="T24" s="762">
        <f>B24*'Market Data'!$C$52+H24*'Market Data'!$M$52+N24*'Market Data'!$W$52</f>
        <v>0.92112919223792322</v>
      </c>
      <c r="U24" s="443">
        <f>SUM(C24:G24)*'Market Data'!$C$52+SUM(I24:M24)*'Market Data'!$M$52+SUM(O24:S24)*'Market Data'!$W$52</f>
        <v>7.8870807762076819E-2</v>
      </c>
      <c r="X24" s="122"/>
    </row>
    <row r="25" spans="1:26" ht="15" x14ac:dyDescent="0.25">
      <c r="A25" s="421">
        <v>2023</v>
      </c>
      <c r="B25" s="775">
        <f t="shared" si="6"/>
        <v>0.75880265840941585</v>
      </c>
      <c r="C25" s="776">
        <f>'7&amp;8 Sleep'!$N92+'7&amp;8 Sleep'!$AA92</f>
        <v>0.13062136176266903</v>
      </c>
      <c r="D25" s="776">
        <f>'7&amp;8 Sleep'!$N144+'7&amp;8 Sleep'!$AA144</f>
        <v>0.10956439667382765</v>
      </c>
      <c r="E25" s="776">
        <f>'7&amp;8 Sleep'!$N196+'7&amp;8 Sleep'!$AA196</f>
        <v>1.0115831540874498E-3</v>
      </c>
      <c r="F25" s="776">
        <f>'7&amp;8 Sleep'!$N249+'7&amp;8 Sleep'!$AA249</f>
        <v>0</v>
      </c>
      <c r="G25" s="777">
        <f>'7&amp;8 Sleep'!$N302+'7&amp;8 Sleep'!$AA302</f>
        <v>0</v>
      </c>
      <c r="H25" s="758">
        <f t="shared" si="7"/>
        <v>0.83291612557944583</v>
      </c>
      <c r="I25" s="758">
        <f>'7&amp;8 Day'!$N92+'7&amp;8 Day'!$AA92</f>
        <v>0.10345956622031828</v>
      </c>
      <c r="J25" s="758">
        <f>'7&amp;8 Day'!$N144+'7&amp;8 Day'!$AA144</f>
        <v>6.3624308200235916E-2</v>
      </c>
      <c r="K25" s="758">
        <f>'7&amp;8 Day'!$N196+'7&amp;8 Day'!$AA196</f>
        <v>0</v>
      </c>
      <c r="L25" s="758">
        <f>'7&amp;8 Day'!$N249+'7&amp;8 Day'!$AA249</f>
        <v>0</v>
      </c>
      <c r="M25" s="758">
        <f>'7&amp;8 Day'!$N302+'7&amp;8 Day'!$AA302</f>
        <v>0</v>
      </c>
      <c r="N25" s="775">
        <f t="shared" si="8"/>
        <v>0.93529347260086038</v>
      </c>
      <c r="O25" s="776">
        <f>'7&amp;8 SU'!$N92+'7&amp;8 SU'!$AA92</f>
        <v>3.1100695703046483E-2</v>
      </c>
      <c r="P25" s="776">
        <f>'7&amp;8 SU'!$N144+'7&amp;8 SU'!$AA144</f>
        <v>3.1160728167214553E-2</v>
      </c>
      <c r="Q25" s="776">
        <f>'7&amp;8 SU'!$N196+'7&amp;8 SU'!$AA196</f>
        <v>2.4451035288786077E-3</v>
      </c>
      <c r="R25" s="776">
        <f>'7&amp;8 SU'!$N249+'7&amp;8 SU'!$AA249</f>
        <v>0</v>
      </c>
      <c r="S25" s="777">
        <f>'7&amp;8 SU'!$N302+'7&amp;8 SU'!$AA302</f>
        <v>0</v>
      </c>
      <c r="T25" s="762">
        <f>B25*'Market Data'!$C$52+H25*'Market Data'!$M$52+N25*'Market Data'!$W$52</f>
        <v>0.8250440124570344</v>
      </c>
      <c r="U25" s="443">
        <f>SUM(C25:G25)*'Market Data'!$C$52+SUM(I25:M25)*'Market Data'!$M$52+SUM(O25:S25)*'Market Data'!$W$52</f>
        <v>0.17495598754296554</v>
      </c>
      <c r="X25" s="122"/>
    </row>
    <row r="26" spans="1:26" ht="15" x14ac:dyDescent="0.25">
      <c r="A26" s="421">
        <v>2024</v>
      </c>
      <c r="B26" s="775">
        <f t="shared" si="6"/>
        <v>0.55793674499050638</v>
      </c>
      <c r="C26" s="776">
        <f>'7&amp;8 Sleep'!$N93+'7&amp;8 Sleep'!$AA93</f>
        <v>0.22920964774359376</v>
      </c>
      <c r="D26" s="776">
        <f>'7&amp;8 Sleep'!$N145+'7&amp;8 Sleep'!$AA145</f>
        <v>0.2031673988179879</v>
      </c>
      <c r="E26" s="776">
        <f>'7&amp;8 Sleep'!$N197+'7&amp;8 Sleep'!$AA197</f>
        <v>9.6862084479119939E-3</v>
      </c>
      <c r="F26" s="776">
        <f>'7&amp;8 Sleep'!$N250+'7&amp;8 Sleep'!$AA250</f>
        <v>0</v>
      </c>
      <c r="G26" s="777">
        <f>'7&amp;8 Sleep'!$N303+'7&amp;8 Sleep'!$AA303</f>
        <v>0</v>
      </c>
      <c r="H26" s="758">
        <f t="shared" si="7"/>
        <v>0.74324382701696912</v>
      </c>
      <c r="I26" s="758">
        <f>'7&amp;8 Day'!$N93+'7&amp;8 Day'!$AA93</f>
        <v>0.14151509031258691</v>
      </c>
      <c r="J26" s="758">
        <f>'7&amp;8 Day'!$N145+'7&amp;8 Day'!$AA145</f>
        <v>0.11524108267044397</v>
      </c>
      <c r="K26" s="758">
        <f>'7&amp;8 Day'!$N197+'7&amp;8 Day'!$AA197</f>
        <v>0</v>
      </c>
      <c r="L26" s="758">
        <f>'7&amp;8 Day'!$N250+'7&amp;8 Day'!$AA250</f>
        <v>0</v>
      </c>
      <c r="M26" s="758">
        <f>'7&amp;8 Day'!$N303+'7&amp;8 Day'!$AA303</f>
        <v>0</v>
      </c>
      <c r="N26" s="775">
        <f t="shared" si="8"/>
        <v>0.87489715425229275</v>
      </c>
      <c r="O26" s="776">
        <f>'7&amp;8 SU'!$N93+'7&amp;8 SU'!$AA93</f>
        <v>6.0408111427562639E-2</v>
      </c>
      <c r="P26" s="776">
        <f>'7&amp;8 SU'!$N145+'7&amp;8 SU'!$AA145</f>
        <v>5.7160314871459728E-2</v>
      </c>
      <c r="Q26" s="776">
        <f>'7&amp;8 SU'!$N197+'7&amp;8 SU'!$AA197</f>
        <v>7.5344194486849196E-3</v>
      </c>
      <c r="R26" s="776">
        <f>'7&amp;8 SU'!$N250+'7&amp;8 SU'!$AA250</f>
        <v>0</v>
      </c>
      <c r="S26" s="777">
        <f>'7&amp;8 SU'!$N303+'7&amp;8 SU'!$AA303</f>
        <v>0</v>
      </c>
      <c r="T26" s="762">
        <f>B26*'Market Data'!$C$52+H26*'Market Data'!$M$52+N26*'Market Data'!$W$52</f>
        <v>0.69025761814535014</v>
      </c>
      <c r="U26" s="443">
        <f>SUM(C26:G26)*'Market Data'!$C$52+SUM(I26:M26)*'Market Data'!$M$52+SUM(O26:S26)*'Market Data'!$W$52</f>
        <v>0.30974238185464981</v>
      </c>
      <c r="X26" s="122"/>
    </row>
    <row r="27" spans="1:26" ht="15" x14ac:dyDescent="0.25">
      <c r="A27" s="420">
        <v>2025</v>
      </c>
      <c r="B27" s="778">
        <f t="shared" si="6"/>
        <v>0.36504081441911285</v>
      </c>
      <c r="C27" s="779">
        <f>'7&amp;8 Sleep'!$N94+'7&amp;8 Sleep'!$AA94</f>
        <v>0.31178948469326639</v>
      </c>
      <c r="D27" s="779">
        <f>'7&amp;8 Sleep'!$N146+'7&amp;8 Sleep'!$AA146</f>
        <v>0.28878707472782</v>
      </c>
      <c r="E27" s="779">
        <f>'7&amp;8 Sleep'!$N198+'7&amp;8 Sleep'!$AA198</f>
        <v>3.4382626159800776E-2</v>
      </c>
      <c r="F27" s="779">
        <f>'7&amp;8 Sleep'!$N251+'7&amp;8 Sleep'!$AA251</f>
        <v>0</v>
      </c>
      <c r="G27" s="780">
        <f>'7&amp;8 Sleep'!$N304+'7&amp;8 Sleep'!$AA304</f>
        <v>0</v>
      </c>
      <c r="H27" s="759">
        <f t="shared" si="7"/>
        <v>0.65334509771230387</v>
      </c>
      <c r="I27" s="759">
        <f>'7&amp;8 Day'!$N94+'7&amp;8 Day'!$AA94</f>
        <v>0.17755941384875584</v>
      </c>
      <c r="J27" s="759">
        <f>'7&amp;8 Day'!$N146+'7&amp;8 Day'!$AA146</f>
        <v>0.16909548843894029</v>
      </c>
      <c r="K27" s="759">
        <f>'7&amp;8 Day'!$N198+'7&amp;8 Day'!$AA198</f>
        <v>0</v>
      </c>
      <c r="L27" s="759">
        <f>'7&amp;8 Day'!$N251+'7&amp;8 Day'!$AA251</f>
        <v>0</v>
      </c>
      <c r="M27" s="759">
        <f>'7&amp;8 Day'!$N304+'7&amp;8 Day'!$AA304</f>
        <v>0</v>
      </c>
      <c r="N27" s="778">
        <f t="shared" si="8"/>
        <v>0.84212754851330973</v>
      </c>
      <c r="O27" s="779">
        <f>'7&amp;8 SU'!$N94+'7&amp;8 SU'!$AA94</f>
        <v>5.9557501635858962E-2</v>
      </c>
      <c r="P27" s="779">
        <f>'7&amp;8 SU'!$N146+'7&amp;8 SU'!$AA146</f>
        <v>7.9420976323347325E-2</v>
      </c>
      <c r="Q27" s="779">
        <f>'7&amp;8 SU'!$N198+'7&amp;8 SU'!$AA198</f>
        <v>1.8893926803355453E-2</v>
      </c>
      <c r="R27" s="779">
        <f>'7&amp;8 SU'!$N251+'7&amp;8 SU'!$AA251</f>
        <v>4.6724128592693818E-8</v>
      </c>
      <c r="S27" s="780">
        <f>'7&amp;8 SU'!$N304+'7&amp;8 SU'!$AA304</f>
        <v>0</v>
      </c>
      <c r="T27" s="763">
        <f>B27*'Market Data'!$C$52+H27*'Market Data'!$M$52+N27*'Market Data'!$W$52</f>
        <v>0.56660966841393257</v>
      </c>
      <c r="U27" s="446">
        <f>SUM(C27:G27)*'Market Data'!$C$52+SUM(I27:M27)*'Market Data'!$M$52+SUM(O27:S27)*'Market Data'!$W$52</f>
        <v>0.43339033158606743</v>
      </c>
      <c r="X27" s="122"/>
    </row>
    <row r="28" spans="1:26" ht="15" x14ac:dyDescent="0.25">
      <c r="A28" s="748">
        <v>2026</v>
      </c>
      <c r="B28" s="783">
        <f t="shared" si="6"/>
        <v>0.21432599400789687</v>
      </c>
      <c r="C28" s="784">
        <f>'7&amp;8 Sleep'!$N95+'7&amp;8 Sleep'!$AA95</f>
        <v>0.36597901145733031</v>
      </c>
      <c r="D28" s="784">
        <f>'7&amp;8 Sleep'!$N147+'7&amp;8 Sleep'!$AA147</f>
        <v>0.34495957184987691</v>
      </c>
      <c r="E28" s="784">
        <f>'7&amp;8 Sleep'!$N199+'7&amp;8 Sleep'!$AA199</f>
        <v>7.473542268489583E-2</v>
      </c>
      <c r="F28" s="784">
        <f>'7&amp;8 Sleep'!$N252+'7&amp;8 Sleep'!$AA252</f>
        <v>0</v>
      </c>
      <c r="G28" s="785">
        <f>'7&amp;8 Sleep'!$N305+'7&amp;8 Sleep'!$AA305</f>
        <v>0</v>
      </c>
      <c r="H28" s="760">
        <f t="shared" si="7"/>
        <v>0.53710566927878856</v>
      </c>
      <c r="I28" s="760">
        <f>'7&amp;8 Day'!$N95+'7&amp;8 Day'!$AA95</f>
        <v>0.23715290852882975</v>
      </c>
      <c r="J28" s="760">
        <f>'7&amp;8 Day'!$N147+'7&amp;8 Day'!$AA147</f>
        <v>0.22574142219238175</v>
      </c>
      <c r="K28" s="760">
        <f>'7&amp;8 Day'!$N199+'7&amp;8 Day'!$AA199</f>
        <v>0</v>
      </c>
      <c r="L28" s="760">
        <f>'7&amp;8 Day'!$N252+'7&amp;8 Day'!$AA252</f>
        <v>0</v>
      </c>
      <c r="M28" s="760">
        <f>'7&amp;8 Day'!$N305+'7&amp;8 Day'!$AA305</f>
        <v>0</v>
      </c>
      <c r="N28" s="783">
        <f t="shared" si="8"/>
        <v>0.76307548346786902</v>
      </c>
      <c r="O28" s="784">
        <f>'7&amp;8 SU'!$N95+'7&amp;8 SU'!$AA95</f>
        <v>7.720380171959601E-2</v>
      </c>
      <c r="P28" s="784">
        <f>'7&amp;8 SU'!$N147+'7&amp;8 SU'!$AA147</f>
        <v>0.12720241654081826</v>
      </c>
      <c r="Q28" s="784">
        <f>'7&amp;8 SU'!$N199+'7&amp;8 SU'!$AA199</f>
        <v>3.2517180460781184E-2</v>
      </c>
      <c r="R28" s="784">
        <f>'7&amp;8 SU'!$N252+'7&amp;8 SU'!$AA252</f>
        <v>1.1178109355288165E-6</v>
      </c>
      <c r="S28" s="785">
        <f>'7&amp;8 SU'!$N305+'7&amp;8 SU'!$AA305</f>
        <v>0</v>
      </c>
      <c r="T28" s="764">
        <f>B28*'Market Data'!$C$52+H28*'Market Data'!$M$52+N28*'Market Data'!$W$52</f>
        <v>0.44391289441065557</v>
      </c>
      <c r="U28" s="450">
        <f>SUM(C28:G28)*'Market Data'!$C$52+SUM(I28:M28)*'Market Data'!$M$52+SUM(O28:S28)*'Market Data'!$W$52</f>
        <v>0.55608710558934438</v>
      </c>
      <c r="X28" s="122"/>
    </row>
    <row r="29" spans="1:26" ht="15" x14ac:dyDescent="0.25">
      <c r="A29" s="421">
        <v>2027</v>
      </c>
      <c r="B29" s="775">
        <f t="shared" si="6"/>
        <v>0.13477642412168345</v>
      </c>
      <c r="C29" s="776">
        <f>'7&amp;8 Sleep'!$N96+'7&amp;8 Sleep'!$AA96</f>
        <v>0.37938106711222058</v>
      </c>
      <c r="D29" s="776">
        <f>'7&amp;8 Sleep'!$N148+'7&amp;8 Sleep'!$AA148</f>
        <v>0.36475319316406274</v>
      </c>
      <c r="E29" s="776">
        <f>'7&amp;8 Sleep'!$N200+'7&amp;8 Sleep'!$AA200</f>
        <v>0.12108931560203333</v>
      </c>
      <c r="F29" s="776">
        <f>'7&amp;8 Sleep'!$N253+'7&amp;8 Sleep'!$AA253</f>
        <v>0</v>
      </c>
      <c r="G29" s="777">
        <f>'7&amp;8 Sleep'!$N306+'7&amp;8 Sleep'!$AA306</f>
        <v>0</v>
      </c>
      <c r="H29" s="758">
        <f t="shared" si="7"/>
        <v>0.45780478933374891</v>
      </c>
      <c r="I29" s="758">
        <f>'7&amp;8 Day'!$N96+'7&amp;8 Day'!$AA96</f>
        <v>0.2761237922943523</v>
      </c>
      <c r="J29" s="758">
        <f>'7&amp;8 Day'!$N148+'7&amp;8 Day'!$AA148</f>
        <v>0.26607141837189874</v>
      </c>
      <c r="K29" s="758">
        <f>'7&amp;8 Day'!$N200+'7&amp;8 Day'!$AA200</f>
        <v>0</v>
      </c>
      <c r="L29" s="758">
        <f>'7&amp;8 Day'!$N253+'7&amp;8 Day'!$AA253</f>
        <v>0</v>
      </c>
      <c r="M29" s="758">
        <f>'7&amp;8 Day'!$N306+'7&amp;8 Day'!$AA306</f>
        <v>0</v>
      </c>
      <c r="N29" s="775">
        <f t="shared" si="8"/>
        <v>0.71576296794300875</v>
      </c>
      <c r="O29" s="776">
        <f>'7&amp;8 SU'!$N96+'7&amp;8 SU'!$AA96</f>
        <v>8.7134664778348053E-2</v>
      </c>
      <c r="P29" s="776">
        <f>'7&amp;8 SU'!$N148+'7&amp;8 SU'!$AA148</f>
        <v>0.15123040726624068</v>
      </c>
      <c r="Q29" s="776">
        <f>'7&amp;8 SU'!$N200+'7&amp;8 SU'!$AA200</f>
        <v>4.5854497332117647E-2</v>
      </c>
      <c r="R29" s="776">
        <f>'7&amp;8 SU'!$N253+'7&amp;8 SU'!$AA253</f>
        <v>1.7462680284877428E-5</v>
      </c>
      <c r="S29" s="777">
        <f>'7&amp;8 SU'!$N306+'7&amp;8 SU'!$AA306</f>
        <v>0</v>
      </c>
      <c r="T29" s="762">
        <f>B29*'Market Data'!$C$52+H29*'Market Data'!$M$52+N29*'Market Data'!$W$52</f>
        <v>0.37306260709464428</v>
      </c>
      <c r="U29" s="443">
        <f>SUM(C29:G29)*'Market Data'!$C$52+SUM(I29:M29)*'Market Data'!$M$52+SUM(O29:S29)*'Market Data'!$W$52</f>
        <v>0.62693739290535566</v>
      </c>
      <c r="X29" s="122"/>
    </row>
    <row r="30" spans="1:26" ht="15" x14ac:dyDescent="0.25">
      <c r="A30" s="421">
        <v>2028</v>
      </c>
      <c r="B30" s="775">
        <f t="shared" si="6"/>
        <v>9.5608166462045618E-2</v>
      </c>
      <c r="C30" s="776">
        <f>'7&amp;8 Sleep'!$N97+'7&amp;8 Sleep'!$AA97</f>
        <v>0.37789638942795117</v>
      </c>
      <c r="D30" s="776">
        <f>'7&amp;8 Sleep'!$N149+'7&amp;8 Sleep'!$AA149</f>
        <v>0.36743266034686006</v>
      </c>
      <c r="E30" s="776">
        <f>'7&amp;8 Sleep'!$N201+'7&amp;8 Sleep'!$AA201</f>
        <v>0.15906278376314315</v>
      </c>
      <c r="F30" s="776">
        <f>'7&amp;8 Sleep'!$N254+'7&amp;8 Sleep'!$AA254</f>
        <v>0</v>
      </c>
      <c r="G30" s="777">
        <f>'7&amp;8 Sleep'!$N307+'7&amp;8 Sleep'!$AA307</f>
        <v>0</v>
      </c>
      <c r="H30" s="758">
        <f t="shared" si="7"/>
        <v>0.41612391280334426</v>
      </c>
      <c r="I30" s="758">
        <f>'7&amp;8 Day'!$N97+'7&amp;8 Day'!$AA97</f>
        <v>0.29428939698953394</v>
      </c>
      <c r="J30" s="758">
        <f>'7&amp;8 Day'!$N149+'7&amp;8 Day'!$AA149</f>
        <v>0.2895866902071218</v>
      </c>
      <c r="K30" s="758">
        <f>'7&amp;8 Day'!$N201+'7&amp;8 Day'!$AA201</f>
        <v>0</v>
      </c>
      <c r="L30" s="758">
        <f>'7&amp;8 Day'!$N254+'7&amp;8 Day'!$AA254</f>
        <v>0</v>
      </c>
      <c r="M30" s="758">
        <f>'7&amp;8 Day'!$N307+'7&amp;8 Day'!$AA307</f>
        <v>0</v>
      </c>
      <c r="N30" s="775">
        <f t="shared" si="8"/>
        <v>0.6840188996913581</v>
      </c>
      <c r="O30" s="776">
        <f>'7&amp;8 SU'!$N97+'7&amp;8 SU'!$AA97</f>
        <v>9.9215875476730483E-2</v>
      </c>
      <c r="P30" s="776">
        <f>'7&amp;8 SU'!$N149+'7&amp;8 SU'!$AA149</f>
        <v>0.16068832447582265</v>
      </c>
      <c r="Q30" s="776">
        <f>'7&amp;8 SU'!$N201+'7&amp;8 SU'!$AA201</f>
        <v>5.5973990431331153E-2</v>
      </c>
      <c r="R30" s="776">
        <f>'7&amp;8 SU'!$N254+'7&amp;8 SU'!$AA254</f>
        <v>1.0290992475755624E-4</v>
      </c>
      <c r="S30" s="777">
        <f>'7&amp;8 SU'!$N307+'7&amp;8 SU'!$AA307</f>
        <v>0</v>
      </c>
      <c r="T30" s="762">
        <f>B30*'Market Data'!$C$52+H30*'Market Data'!$M$52+N30*'Market Data'!$W$52</f>
        <v>0.33524024725260704</v>
      </c>
      <c r="U30" s="443">
        <f>SUM(C30:G30)*'Market Data'!$C$52+SUM(I30:M30)*'Market Data'!$M$52+SUM(O30:S30)*'Market Data'!$W$52</f>
        <v>0.66475975274739296</v>
      </c>
      <c r="X30" s="122"/>
    </row>
    <row r="31" spans="1:26" ht="15" x14ac:dyDescent="0.25">
      <c r="A31" s="421">
        <v>2029</v>
      </c>
      <c r="B31" s="775">
        <f t="shared" si="6"/>
        <v>7.3660825530742047E-2</v>
      </c>
      <c r="C31" s="776">
        <f>'7&amp;8 Sleep'!$N98+'7&amp;8 Sleep'!$AA98</f>
        <v>0.36840887631518998</v>
      </c>
      <c r="D31" s="776">
        <f>'7&amp;8 Sleep'!$N150+'7&amp;8 Sleep'!$AA150</f>
        <v>0.3631667348527805</v>
      </c>
      <c r="E31" s="776">
        <f>'7&amp;8 Sleep'!$N202+'7&amp;8 Sleep'!$AA202</f>
        <v>0.19476356330128741</v>
      </c>
      <c r="F31" s="776">
        <f>'7&amp;8 Sleep'!$N255+'7&amp;8 Sleep'!$AA255</f>
        <v>0</v>
      </c>
      <c r="G31" s="777">
        <f>'7&amp;8 Sleep'!$N308+'7&amp;8 Sleep'!$AA308</f>
        <v>0</v>
      </c>
      <c r="H31" s="758">
        <f t="shared" si="7"/>
        <v>0.37692656135911806</v>
      </c>
      <c r="I31" s="758">
        <f>'7&amp;8 Day'!$N98+'7&amp;8 Day'!$AA98</f>
        <v>0.31275848814708396</v>
      </c>
      <c r="J31" s="758">
        <f>'7&amp;8 Day'!$N150+'7&amp;8 Day'!$AA150</f>
        <v>0.31031495049379798</v>
      </c>
      <c r="K31" s="758">
        <f>'7&amp;8 Day'!$N202+'7&amp;8 Day'!$AA202</f>
        <v>0</v>
      </c>
      <c r="L31" s="758">
        <f>'7&amp;8 Day'!$N255+'7&amp;8 Day'!$AA255</f>
        <v>0</v>
      </c>
      <c r="M31" s="758">
        <f>'7&amp;8 Day'!$N308+'7&amp;8 Day'!$AA308</f>
        <v>0</v>
      </c>
      <c r="N31" s="775">
        <f t="shared" si="8"/>
        <v>0.66995031859182563</v>
      </c>
      <c r="O31" s="776">
        <f>'7&amp;8 SU'!$N98+'7&amp;8 SU'!$AA98</f>
        <v>0.10364119246859943</v>
      </c>
      <c r="P31" s="776">
        <f>'7&amp;8 SU'!$N150+'7&amp;8 SU'!$AA150</f>
        <v>0.15864775872108833</v>
      </c>
      <c r="Q31" s="776">
        <f>'7&amp;8 SU'!$N202+'7&amp;8 SU'!$AA202</f>
        <v>6.7329709603413779E-2</v>
      </c>
      <c r="R31" s="776">
        <f>'7&amp;8 SU'!$N255+'7&amp;8 SU'!$AA255</f>
        <v>4.3102061507285371E-4</v>
      </c>
      <c r="S31" s="777">
        <f>'7&amp;8 SU'!$N308+'7&amp;8 SU'!$AA308</f>
        <v>0</v>
      </c>
      <c r="T31" s="762">
        <f>B31*'Market Data'!$C$52+H31*'Market Data'!$M$52+N31*'Market Data'!$W$52</f>
        <v>0.31098978947070421</v>
      </c>
      <c r="U31" s="443">
        <f>SUM(C31:G31)*'Market Data'!$C$52+SUM(I31:M31)*'Market Data'!$M$52+SUM(O31:S31)*'Market Data'!$W$52</f>
        <v>0.68901021052929579</v>
      </c>
      <c r="V31"/>
      <c r="W31"/>
      <c r="X31"/>
      <c r="Y31"/>
      <c r="Z31"/>
    </row>
    <row r="32" spans="1:26" ht="15" x14ac:dyDescent="0.25">
      <c r="A32" s="420">
        <v>2030</v>
      </c>
      <c r="B32" s="778">
        <f t="shared" si="6"/>
        <v>6.2862281881080784E-2</v>
      </c>
      <c r="C32" s="779">
        <f>'7&amp;8 Sleep'!$N99+'7&amp;8 Sleep'!$AA99</f>
        <v>0.35889712948258684</v>
      </c>
      <c r="D32" s="779">
        <f>'7&amp;8 Sleep'!$N151+'7&amp;8 Sleep'!$AA151</f>
        <v>0.35581511117869052</v>
      </c>
      <c r="E32" s="779">
        <f>'7&amp;8 Sleep'!$N203+'7&amp;8 Sleep'!$AA203</f>
        <v>0.22242547745764185</v>
      </c>
      <c r="F32" s="779">
        <f>'7&amp;8 Sleep'!$N256+'7&amp;8 Sleep'!$AA256</f>
        <v>0</v>
      </c>
      <c r="G32" s="780">
        <f>'7&amp;8 Sleep'!$N309+'7&amp;8 Sleep'!$AA309</f>
        <v>0</v>
      </c>
      <c r="H32" s="759">
        <f t="shared" si="7"/>
        <v>0.3495043551634861</v>
      </c>
      <c r="I32" s="759">
        <f>'7&amp;8 Day'!$N99+'7&amp;8 Day'!$AA99</f>
        <v>0.32585057865087641</v>
      </c>
      <c r="J32" s="759">
        <f>'7&amp;8 Day'!$N151+'7&amp;8 Day'!$AA151</f>
        <v>0.32464506618563749</v>
      </c>
      <c r="K32" s="759">
        <f>'7&amp;8 Day'!$N203+'7&amp;8 Day'!$AA203</f>
        <v>0</v>
      </c>
      <c r="L32" s="759">
        <f>'7&amp;8 Day'!$N256+'7&amp;8 Day'!$AA256</f>
        <v>0</v>
      </c>
      <c r="M32" s="759">
        <f>'7&amp;8 Day'!$N309+'7&amp;8 Day'!$AA309</f>
        <v>0</v>
      </c>
      <c r="N32" s="778">
        <f t="shared" si="8"/>
        <v>0.65353276502137425</v>
      </c>
      <c r="O32" s="779">
        <f>'7&amp;8 SU'!$N99+'7&amp;8 SU'!$AA99</f>
        <v>0.10766690131543438</v>
      </c>
      <c r="P32" s="779">
        <f>'7&amp;8 SU'!$N151+'7&amp;8 SU'!$AA151</f>
        <v>0.1633029207302355</v>
      </c>
      <c r="Q32" s="779">
        <f>'7&amp;8 SU'!$N203+'7&amp;8 SU'!$AA203</f>
        <v>7.4489672115651218E-2</v>
      </c>
      <c r="R32" s="779">
        <f>'7&amp;8 SU'!$N256+'7&amp;8 SU'!$AA256</f>
        <v>1.0077408173046116E-3</v>
      </c>
      <c r="S32" s="780">
        <f>'7&amp;8 SU'!$N309+'7&amp;8 SU'!$AA309</f>
        <v>0</v>
      </c>
      <c r="T32" s="763">
        <f>B32*'Market Data'!$C$52+H32*'Market Data'!$M$52+N32*'Market Data'!$W$52</f>
        <v>0.29443261147720307</v>
      </c>
      <c r="U32" s="446">
        <f>SUM(C32:G32)*'Market Data'!$C$52+SUM(I32:M32)*'Market Data'!$M$52+SUM(O32:S32)*'Market Data'!$W$52</f>
        <v>0.70556738852279688</v>
      </c>
      <c r="V32" s="443">
        <f>D32*'Market Data'!$C$52+J32*'Market Data'!$M$52+P32*'Market Data'!$W$52</f>
        <v>0.29626968107140222</v>
      </c>
      <c r="W32" s="443">
        <f>E32*'Market Data'!$C$52+Q32*'Market Data'!$W$52</f>
        <v>0.12588555580041871</v>
      </c>
      <c r="X32" s="443">
        <f>F32*'Market Data'!$C$52+L32*'Market Data'!$M$52</f>
        <v>0</v>
      </c>
      <c r="Y32" s="443">
        <f>K32*'Market Data'!$M$52+R32*'Market Data'!$W$52</f>
        <v>2.6995327753370063E-4</v>
      </c>
      <c r="Z32" s="1397">
        <f>1-SUM(V32:Y32)</f>
        <v>0.57757480985064535</v>
      </c>
    </row>
    <row r="33" spans="1:26" ht="15" x14ac:dyDescent="0.25">
      <c r="A33" s="748">
        <v>2031</v>
      </c>
      <c r="B33" s="783">
        <f t="shared" si="6"/>
        <v>6.0984654009025308E-2</v>
      </c>
      <c r="C33" s="784">
        <f>'7&amp;8 Sleep'!$N100+'7&amp;8 Sleep'!$AA100</f>
        <v>0.35627189925843383</v>
      </c>
      <c r="D33" s="784">
        <f>'7&amp;8 Sleep'!$N152+'7&amp;8 Sleep'!$AA152</f>
        <v>0.35299529450779832</v>
      </c>
      <c r="E33" s="784">
        <f>'7&amp;8 Sleep'!$N204+'7&amp;8 Sleep'!$AA204</f>
        <v>0.22974815222474251</v>
      </c>
      <c r="F33" s="784">
        <f>'7&amp;8 Sleep'!$N257+'7&amp;8 Sleep'!$AA257</f>
        <v>0</v>
      </c>
      <c r="G33" s="785">
        <f>'7&amp;8 Sleep'!$N310+'7&amp;8 Sleep'!$AA310</f>
        <v>0</v>
      </c>
      <c r="H33" s="760">
        <f t="shared" si="7"/>
        <v>0.34737294727814938</v>
      </c>
      <c r="I33" s="760">
        <f>'7&amp;8 Day'!$N100+'7&amp;8 Day'!$AA100</f>
        <v>0.32633863581529982</v>
      </c>
      <c r="J33" s="760">
        <f>'7&amp;8 Day'!$N152+'7&amp;8 Day'!$AA152</f>
        <v>0.326192408558932</v>
      </c>
      <c r="K33" s="760">
        <f>'7&amp;8 Day'!$N204+'7&amp;8 Day'!$AA204</f>
        <v>9.6008347618844022E-5</v>
      </c>
      <c r="L33" s="760">
        <f>'7&amp;8 Day'!$N257+'7&amp;8 Day'!$AA257</f>
        <v>0</v>
      </c>
      <c r="M33" s="760">
        <f>'7&amp;8 Day'!$N310+'7&amp;8 Day'!$AA310</f>
        <v>0</v>
      </c>
      <c r="N33" s="783">
        <f t="shared" si="8"/>
        <v>0.65176545714359402</v>
      </c>
      <c r="O33" s="784">
        <f>'7&amp;8 SU'!$N100+'7&amp;8 SU'!$AA100</f>
        <v>0.11015253480264306</v>
      </c>
      <c r="P33" s="784">
        <f>'7&amp;8 SU'!$N152+'7&amp;8 SU'!$AA152</f>
        <v>0.16134739470854015</v>
      </c>
      <c r="Q33" s="784">
        <f>'7&amp;8 SU'!$N204+'7&amp;8 SU'!$AA204</f>
        <v>7.5280719895959691E-2</v>
      </c>
      <c r="R33" s="784">
        <f>'7&amp;8 SU'!$N257+'7&amp;8 SU'!$AA257</f>
        <v>1.4538934492630293E-3</v>
      </c>
      <c r="S33" s="785">
        <f>'7&amp;8 SU'!$N310+'7&amp;8 SU'!$AA310</f>
        <v>0</v>
      </c>
      <c r="T33" s="764">
        <f>B33*'Market Data'!$C$52+H33*'Market Data'!$M$52+N33*'Market Data'!$W$52</f>
        <v>0.29251960262901244</v>
      </c>
      <c r="U33" s="450">
        <f>SUM(C33:G33)*'Market Data'!$C$52+SUM(I33:M33)*'Market Data'!$M$52+SUM(O33:S33)*'Market Data'!$W$52</f>
        <v>0.70748039737098745</v>
      </c>
    </row>
    <row r="34" spans="1:26" ht="15" x14ac:dyDescent="0.25">
      <c r="A34" s="421">
        <v>2032</v>
      </c>
      <c r="B34" s="775">
        <f t="shared" si="6"/>
        <v>6.0443568919070212E-2</v>
      </c>
      <c r="C34" s="776">
        <f>'7&amp;8 Sleep'!$N101+'7&amp;8 Sleep'!$AA101</f>
        <v>0.35331967302805933</v>
      </c>
      <c r="D34" s="776">
        <f>'7&amp;8 Sleep'!$N153+'7&amp;8 Sleep'!$AA153</f>
        <v>0.35082508590390327</v>
      </c>
      <c r="E34" s="776">
        <f>'7&amp;8 Sleep'!$N205+'7&amp;8 Sleep'!$AA205</f>
        <v>0.23541167214896716</v>
      </c>
      <c r="F34" s="776">
        <f>'7&amp;8 Sleep'!$N258+'7&amp;8 Sleep'!$AA258</f>
        <v>0</v>
      </c>
      <c r="G34" s="777">
        <f>'7&amp;8 Sleep'!$N311+'7&amp;8 Sleep'!$AA311</f>
        <v>0</v>
      </c>
      <c r="H34" s="758">
        <f t="shared" si="7"/>
        <v>0.3457609384153002</v>
      </c>
      <c r="I34" s="758">
        <f>'7&amp;8 Day'!$N101+'7&amp;8 Day'!$AA101</f>
        <v>0.32660835275787609</v>
      </c>
      <c r="J34" s="758">
        <f>'7&amp;8 Day'!$N153+'7&amp;8 Day'!$AA153</f>
        <v>0.3264620046455502</v>
      </c>
      <c r="K34" s="758">
        <f>'7&amp;8 Day'!$N205+'7&amp;8 Day'!$AA205</f>
        <v>1.1687041812735916E-3</v>
      </c>
      <c r="L34" s="758">
        <f>'7&amp;8 Day'!$N258+'7&amp;8 Day'!$AA258</f>
        <v>0</v>
      </c>
      <c r="M34" s="758">
        <f>'7&amp;8 Day'!$N311+'7&amp;8 Day'!$AA311</f>
        <v>0</v>
      </c>
      <c r="N34" s="775">
        <f t="shared" si="8"/>
        <v>0.63821751621267664</v>
      </c>
      <c r="O34" s="776">
        <f>'7&amp;8 SU'!$N101+'7&amp;8 SU'!$AA101</f>
        <v>0.1126810246685413</v>
      </c>
      <c r="P34" s="776">
        <f>'7&amp;8 SU'!$N153+'7&amp;8 SU'!$AA153</f>
        <v>0.16942809913617535</v>
      </c>
      <c r="Q34" s="776">
        <f>'7&amp;8 SU'!$N205+'7&amp;8 SU'!$AA205</f>
        <v>7.7602815930079616E-2</v>
      </c>
      <c r="R34" s="776">
        <f>'7&amp;8 SU'!$N258+'7&amp;8 SU'!$AA258</f>
        <v>2.0705440525270674E-3</v>
      </c>
      <c r="S34" s="777">
        <f>'7&amp;8 SU'!$N311+'7&amp;8 SU'!$AA311</f>
        <v>0</v>
      </c>
      <c r="T34" s="762">
        <f>B34*'Market Data'!$C$52+H34*'Market Data'!$M$52+N34*'Market Data'!$W$52</f>
        <v>0.28822023322331747</v>
      </c>
      <c r="U34" s="443">
        <f>SUM(C34:G34)*'Market Data'!$C$52+SUM(I34:M34)*'Market Data'!$M$52+SUM(O34:S34)*'Market Data'!$W$52</f>
        <v>0.71177976677668242</v>
      </c>
    </row>
    <row r="35" spans="1:26" ht="15" x14ac:dyDescent="0.25">
      <c r="A35" s="421">
        <v>2033</v>
      </c>
      <c r="B35" s="775">
        <f t="shared" si="6"/>
        <v>5.9601831474312306E-2</v>
      </c>
      <c r="C35" s="776">
        <f>'7&amp;8 Sleep'!$N102+'7&amp;8 Sleep'!$AA102</f>
        <v>0.35217379563362228</v>
      </c>
      <c r="D35" s="776">
        <f>'7&amp;8 Sleep'!$N154+'7&amp;8 Sleep'!$AA154</f>
        <v>0.34994841846175023</v>
      </c>
      <c r="E35" s="776">
        <f>'7&amp;8 Sleep'!$N206+'7&amp;8 Sleep'!$AA206</f>
        <v>0.2382759544303153</v>
      </c>
      <c r="F35" s="776">
        <f>'7&amp;8 Sleep'!$N259+'7&amp;8 Sleep'!$AA259</f>
        <v>0</v>
      </c>
      <c r="G35" s="777">
        <f>'7&amp;8 Sleep'!$N312+'7&amp;8 Sleep'!$AA312</f>
        <v>0</v>
      </c>
      <c r="H35" s="758">
        <f t="shared" si="7"/>
        <v>0.34255083219420301</v>
      </c>
      <c r="I35" s="758">
        <f>'7&amp;8 Day'!$N102+'7&amp;8 Day'!$AA102</f>
        <v>0.32652844142551202</v>
      </c>
      <c r="J35" s="758">
        <f>'7&amp;8 Day'!$N154+'7&amp;8 Day'!$AA154</f>
        <v>0.32638212912020859</v>
      </c>
      <c r="K35" s="758">
        <f>'7&amp;8 Day'!$N206+'7&amp;8 Day'!$AA206</f>
        <v>4.5385972600764223E-3</v>
      </c>
      <c r="L35" s="758">
        <f>'7&amp;8 Day'!$N259+'7&amp;8 Day'!$AA259</f>
        <v>0</v>
      </c>
      <c r="M35" s="758">
        <f>'7&amp;8 Day'!$N312+'7&amp;8 Day'!$AA312</f>
        <v>0</v>
      </c>
      <c r="N35" s="775">
        <f t="shared" si="8"/>
        <v>0.63771638377894857</v>
      </c>
      <c r="O35" s="776">
        <f>'7&amp;8 SU'!$N102+'7&amp;8 SU'!$AA102</f>
        <v>0.11214119355313418</v>
      </c>
      <c r="P35" s="776">
        <f>'7&amp;8 SU'!$N154+'7&amp;8 SU'!$AA154</f>
        <v>0.16918157808523221</v>
      </c>
      <c r="Q35" s="776">
        <f>'7&amp;8 SU'!$N206+'7&amp;8 SU'!$AA206</f>
        <v>7.8011793694715642E-2</v>
      </c>
      <c r="R35" s="776">
        <f>'7&amp;8 SU'!$N259+'7&amp;8 SU'!$AA259</f>
        <v>2.9490508879693408E-3</v>
      </c>
      <c r="S35" s="777">
        <f>'7&amp;8 SU'!$N312+'7&amp;8 SU'!$AA312</f>
        <v>0</v>
      </c>
      <c r="T35" s="762">
        <f>B35*'Market Data'!$C$52+H35*'Market Data'!$M$52+N35*'Market Data'!$W$52</f>
        <v>0.28686375391711405</v>
      </c>
      <c r="U35" s="443">
        <f>SUM(C35:G35)*'Market Data'!$C$52+SUM(I35:M35)*'Market Data'!$M$52+SUM(O35:S35)*'Market Data'!$W$52</f>
        <v>0.71313624608288584</v>
      </c>
    </row>
    <row r="36" spans="1:26" ht="15" x14ac:dyDescent="0.25">
      <c r="A36" s="421">
        <v>2034</v>
      </c>
      <c r="B36" s="775">
        <f t="shared" si="6"/>
        <v>5.8645981271136738E-2</v>
      </c>
      <c r="C36" s="776">
        <f>'7&amp;8 Sleep'!$N103+'7&amp;8 Sleep'!$AA103</f>
        <v>0.35088858570195847</v>
      </c>
      <c r="D36" s="776">
        <f>'7&amp;8 Sleep'!$N155+'7&amp;8 Sleep'!$AA155</f>
        <v>0.34855676925063422</v>
      </c>
      <c r="E36" s="776">
        <f>'7&amp;8 Sleep'!$N207+'7&amp;8 Sleep'!$AA207</f>
        <v>0.24190866377627052</v>
      </c>
      <c r="F36" s="776">
        <f>'7&amp;8 Sleep'!$N260+'7&amp;8 Sleep'!$AA260</f>
        <v>0</v>
      </c>
      <c r="G36" s="777">
        <f>'7&amp;8 Sleep'!$N313+'7&amp;8 Sleep'!$AA313</f>
        <v>0</v>
      </c>
      <c r="H36" s="758">
        <f t="shared" si="7"/>
        <v>0.34249954699559237</v>
      </c>
      <c r="I36" s="758">
        <f>'7&amp;8 Day'!$N103+'7&amp;8 Day'!$AA103</f>
        <v>0.32263193017682401</v>
      </c>
      <c r="J36" s="758">
        <f>'7&amp;8 Day'!$N155+'7&amp;8 Day'!$AA155</f>
        <v>0.32248736383747983</v>
      </c>
      <c r="K36" s="758">
        <f>'7&amp;8 Day'!$N207+'7&amp;8 Day'!$AA207</f>
        <v>1.2381158990103849E-2</v>
      </c>
      <c r="L36" s="758">
        <f>'7&amp;8 Day'!$N260+'7&amp;8 Day'!$AA260</f>
        <v>0</v>
      </c>
      <c r="M36" s="758">
        <f>'7&amp;8 Day'!$N313+'7&amp;8 Day'!$AA313</f>
        <v>0</v>
      </c>
      <c r="N36" s="775">
        <f t="shared" si="8"/>
        <v>0.63763956999468085</v>
      </c>
      <c r="O36" s="776">
        <f>'7&amp;8 SU'!$N103+'7&amp;8 SU'!$AA103</f>
        <v>0.11181815442856746</v>
      </c>
      <c r="P36" s="776">
        <f>'7&amp;8 SU'!$N155+'7&amp;8 SU'!$AA155</f>
        <v>0.16887287276110388</v>
      </c>
      <c r="Q36" s="776">
        <f>'7&amp;8 SU'!$N207+'7&amp;8 SU'!$AA207</f>
        <v>7.756812805526124E-2</v>
      </c>
      <c r="R36" s="776">
        <f>'7&amp;8 SU'!$N260+'7&amp;8 SU'!$AA260</f>
        <v>4.1012747603865907E-3</v>
      </c>
      <c r="S36" s="777">
        <f>'7&amp;8 SU'!$N313+'7&amp;8 SU'!$AA313</f>
        <v>0</v>
      </c>
      <c r="T36" s="762">
        <f>B36*'Market Data'!$C$52+H36*'Market Data'!$M$52+N36*'Market Data'!$W$52</f>
        <v>0.28637482635538614</v>
      </c>
      <c r="U36" s="443">
        <f>SUM(C36:G36)*'Market Data'!$C$52+SUM(I36:M36)*'Market Data'!$M$52+SUM(O36:S36)*'Market Data'!$W$52</f>
        <v>0.71362517364461386</v>
      </c>
    </row>
    <row r="37" spans="1:26" ht="15" x14ac:dyDescent="0.25">
      <c r="A37" s="420">
        <v>2035</v>
      </c>
      <c r="B37" s="778">
        <f t="shared" si="6"/>
        <v>5.5879731419485434E-2</v>
      </c>
      <c r="C37" s="779">
        <f>'7&amp;8 Sleep'!$N104+'7&amp;8 Sleep'!$AA104</f>
        <v>0.35197758604077267</v>
      </c>
      <c r="D37" s="779">
        <f>'7&amp;8 Sleep'!$N156+'7&amp;8 Sleep'!$AA156</f>
        <v>0.34858680759155569</v>
      </c>
      <c r="E37" s="779">
        <f>'7&amp;8 Sleep'!$N208+'7&amp;8 Sleep'!$AA208</f>
        <v>0.2435558749481862</v>
      </c>
      <c r="F37" s="779">
        <f>'7&amp;8 Sleep'!$N261+'7&amp;8 Sleep'!$AA261</f>
        <v>0</v>
      </c>
      <c r="G37" s="780">
        <f>'7&amp;8 Sleep'!$N314+'7&amp;8 Sleep'!$AA314</f>
        <v>0</v>
      </c>
      <c r="H37" s="759">
        <f t="shared" si="7"/>
        <v>0.33326802102761111</v>
      </c>
      <c r="I37" s="759">
        <f>'7&amp;8 Day'!$N104+'7&amp;8 Day'!$AA104</f>
        <v>0.32023964660159121</v>
      </c>
      <c r="J37" s="759">
        <f>'7&amp;8 Day'!$N156+'7&amp;8 Day'!$AA156</f>
        <v>0.31796821361245642</v>
      </c>
      <c r="K37" s="759">
        <f>'7&amp;8 Day'!$N208+'7&amp;8 Day'!$AA208</f>
        <v>2.852411875834121E-2</v>
      </c>
      <c r="L37" s="759">
        <f>'7&amp;8 Day'!$N261+'7&amp;8 Day'!$AA261</f>
        <v>0</v>
      </c>
      <c r="M37" s="759">
        <f>'7&amp;8 Day'!$N314+'7&amp;8 Day'!$AA314</f>
        <v>0</v>
      </c>
      <c r="N37" s="778">
        <f t="shared" si="8"/>
        <v>0.63761130358636897</v>
      </c>
      <c r="O37" s="779">
        <f>'7&amp;8 SU'!$N104+'7&amp;8 SU'!$AA104</f>
        <v>0.11138859519233435</v>
      </c>
      <c r="P37" s="779">
        <f>'7&amp;8 SU'!$N156+'7&amp;8 SU'!$AA156</f>
        <v>0.16745021902726298</v>
      </c>
      <c r="Q37" s="779">
        <f>'7&amp;8 SU'!$N208+'7&amp;8 SU'!$AA208</f>
        <v>7.7732035649353812E-2</v>
      </c>
      <c r="R37" s="779">
        <f>'7&amp;8 SU'!$N261+'7&amp;8 SU'!$AA261</f>
        <v>5.8112911190675107E-3</v>
      </c>
      <c r="S37" s="780">
        <f>'7&amp;8 SU'!$N314+'7&amp;8 SU'!$AA314</f>
        <v>6.5554256123334041E-6</v>
      </c>
      <c r="T37" s="763">
        <f>B37*'Market Data'!$C$52+H37*'Market Data'!$M$52+N37*'Market Data'!$W$52</f>
        <v>0.28268778779659076</v>
      </c>
      <c r="U37" s="446">
        <f>SUM(C37:G37)*'Market Data'!$C$52+SUM(I37:M37)*'Market Data'!$M$52+SUM(O37:S37)*'Market Data'!$W$52</f>
        <v>0.71731221220340924</v>
      </c>
    </row>
    <row r="38" spans="1:26" ht="15" x14ac:dyDescent="0.25">
      <c r="A38" s="748">
        <v>2036</v>
      </c>
      <c r="B38" s="783">
        <f t="shared" si="6"/>
        <v>5.5197509728408423E-2</v>
      </c>
      <c r="C38" s="784">
        <f>'7&amp;8 Sleep'!$N105+'7&amp;8 Sleep'!$AA105</f>
        <v>0.35095986029467852</v>
      </c>
      <c r="D38" s="784">
        <f>'7&amp;8 Sleep'!$N157+'7&amp;8 Sleep'!$AA157</f>
        <v>0.34785715015316998</v>
      </c>
      <c r="E38" s="784">
        <f>'7&amp;8 Sleep'!$N209+'7&amp;8 Sleep'!$AA209</f>
        <v>0.24597227018559412</v>
      </c>
      <c r="F38" s="784">
        <f>'7&amp;8 Sleep'!$N262+'7&amp;8 Sleep'!$AA262</f>
        <v>1.3209638149000296E-5</v>
      </c>
      <c r="G38" s="785">
        <f>'7&amp;8 Sleep'!$N315+'7&amp;8 Sleep'!$AA315</f>
        <v>0</v>
      </c>
      <c r="H38" s="760">
        <f t="shared" si="7"/>
        <v>0.32987754441672812</v>
      </c>
      <c r="I38" s="760">
        <f>'7&amp;8 Day'!$N105+'7&amp;8 Day'!$AA105</f>
        <v>0.31724247285937723</v>
      </c>
      <c r="J38" s="760">
        <f>'7&amp;8 Day'!$N157+'7&amp;8 Day'!$AA157</f>
        <v>0.3171003214518564</v>
      </c>
      <c r="K38" s="760">
        <f>'7&amp;8 Day'!$N209+'7&amp;8 Day'!$AA209</f>
        <v>3.5779255867727455E-2</v>
      </c>
      <c r="L38" s="760">
        <f>'7&amp;8 Day'!$N262+'7&amp;8 Day'!$AA262</f>
        <v>0</v>
      </c>
      <c r="M38" s="760">
        <f>'7&amp;8 Day'!$N315+'7&amp;8 Day'!$AA315</f>
        <v>4.0540431074845407E-7</v>
      </c>
      <c r="N38" s="783">
        <f t="shared" si="8"/>
        <v>0.63690195358368151</v>
      </c>
      <c r="O38" s="784">
        <f>'7&amp;8 SU'!$N105+'7&amp;8 SU'!$AA105</f>
        <v>0.11560954619435981</v>
      </c>
      <c r="P38" s="784">
        <f>'7&amp;8 SU'!$N157+'7&amp;8 SU'!$AA157</f>
        <v>0.16602889625877809</v>
      </c>
      <c r="Q38" s="784">
        <f>'7&amp;8 SU'!$N209+'7&amp;8 SU'!$AA209</f>
        <v>7.4904340083485177E-2</v>
      </c>
      <c r="R38" s="784">
        <f>'7&amp;8 SU'!$N262+'7&amp;8 SU'!$AA262</f>
        <v>6.5239867959531322E-3</v>
      </c>
      <c r="S38" s="785">
        <f>'7&amp;8 SU'!$N315+'7&amp;8 SU'!$AA315</f>
        <v>3.1277083742341334E-5</v>
      </c>
      <c r="T38" s="764">
        <f>B38*'Market Data'!$C$52+H38*'Market Data'!$M$52+N38*'Market Data'!$W$52</f>
        <v>0.28130535094573034</v>
      </c>
      <c r="U38" s="450">
        <f>SUM(C38:G38)*'Market Data'!$C$52+SUM(I38:M38)*'Market Data'!$M$52+SUM(O38:S38)*'Market Data'!$W$52</f>
        <v>0.71869464905426972</v>
      </c>
    </row>
    <row r="39" spans="1:26" ht="15" x14ac:dyDescent="0.25">
      <c r="A39" s="421">
        <v>2037</v>
      </c>
      <c r="B39" s="775">
        <f t="shared" si="6"/>
        <v>5.5193840234423086E-2</v>
      </c>
      <c r="C39" s="776">
        <f>'7&amp;8 Sleep'!$N106+'7&amp;8 Sleep'!$AA106</f>
        <v>0.35104757851227708</v>
      </c>
      <c r="D39" s="776">
        <f>'7&amp;8 Sleep'!$N158+'7&amp;8 Sleep'!$AA158</f>
        <v>0.34794447227606828</v>
      </c>
      <c r="E39" s="776">
        <f>'7&amp;8 Sleep'!$N210+'7&amp;8 Sleep'!$AA210</f>
        <v>0.24577166206379522</v>
      </c>
      <c r="F39" s="776">
        <f>'7&amp;8 Sleep'!$N263+'7&amp;8 Sleep'!$AA263</f>
        <v>4.2420882668269459E-5</v>
      </c>
      <c r="G39" s="777">
        <f>'7&amp;8 Sleep'!$N316+'7&amp;8 Sleep'!$AA316</f>
        <v>2.6030768135797323E-8</v>
      </c>
      <c r="H39" s="758">
        <f t="shared" si="7"/>
        <v>0.32987494174543397</v>
      </c>
      <c r="I39" s="758">
        <f>'7&amp;8 Day'!$N106+'7&amp;8 Day'!$AA106</f>
        <v>0.3144535616758739</v>
      </c>
      <c r="J39" s="758">
        <f>'7&amp;8 Day'!$N158+'7&amp;8 Day'!$AA158</f>
        <v>0.31431265993598623</v>
      </c>
      <c r="K39" s="758">
        <f>'7&amp;8 Day'!$N210+'7&amp;8 Day'!$AA210</f>
        <v>3.9181857474736737E-2</v>
      </c>
      <c r="L39" s="758">
        <f>'7&amp;8 Day'!$N263+'7&amp;8 Day'!$AA263</f>
        <v>0</v>
      </c>
      <c r="M39" s="758">
        <f>'7&amp;8 Day'!$N316+'7&amp;8 Day'!$AA316</f>
        <v>2.1769791679692703E-3</v>
      </c>
      <c r="N39" s="775">
        <f t="shared" si="8"/>
        <v>0.63689812020380798</v>
      </c>
      <c r="O39" s="776">
        <f>'7&amp;8 SU'!$N106+'7&amp;8 SU'!$AA106</f>
        <v>0.11431190870559707</v>
      </c>
      <c r="P39" s="776">
        <f>'7&amp;8 SU'!$N158+'7&amp;8 SU'!$AA158</f>
        <v>0.16698324525489427</v>
      </c>
      <c r="Q39" s="776">
        <f>'7&amp;8 SU'!$N210+'7&amp;8 SU'!$AA210</f>
        <v>7.516300590630573E-2</v>
      </c>
      <c r="R39" s="776">
        <f>'7&amp;8 SU'!$N263+'7&amp;8 SU'!$AA263</f>
        <v>6.5971382814877738E-3</v>
      </c>
      <c r="S39" s="777">
        <f>'7&amp;8 SU'!$N316+'7&amp;8 SU'!$AA316</f>
        <v>4.6581647907086258E-5</v>
      </c>
      <c r="T39" s="762">
        <f>B39*'Market Data'!$C$52+H39*'Market Data'!$M$52+N39*'Market Data'!$W$52</f>
        <v>0.28130191051278952</v>
      </c>
      <c r="U39" s="443">
        <f>SUM(C39:G39)*'Market Data'!$C$52+SUM(I39:M39)*'Market Data'!$M$52+SUM(O39:S39)*'Market Data'!$W$52</f>
        <v>0.71869808948721037</v>
      </c>
    </row>
    <row r="40" spans="1:26" ht="15" x14ac:dyDescent="0.25">
      <c r="A40" s="421">
        <v>2038</v>
      </c>
      <c r="B40" s="775">
        <f t="shared" si="6"/>
        <v>5.4496309267486831E-2</v>
      </c>
      <c r="C40" s="776">
        <f>'7&amp;8 Sleep'!$N107+'7&amp;8 Sleep'!$AA107</f>
        <v>0.35150350725612856</v>
      </c>
      <c r="D40" s="776">
        <f>'7&amp;8 Sleep'!$N159+'7&amp;8 Sleep'!$AA159</f>
        <v>0.34815283707542244</v>
      </c>
      <c r="E40" s="776">
        <f>'7&amp;8 Sleep'!$N211+'7&amp;8 Sleep'!$AA211</f>
        <v>0.24566178812351291</v>
      </c>
      <c r="F40" s="776">
        <f>'7&amp;8 Sleep'!$N264+'7&amp;8 Sleep'!$AA264</f>
        <v>1.7466749642449275E-4</v>
      </c>
      <c r="G40" s="777">
        <f>'7&amp;8 Sleep'!$N317+'7&amp;8 Sleep'!$AA317</f>
        <v>1.0890781024768489E-5</v>
      </c>
      <c r="H40" s="758">
        <f t="shared" si="7"/>
        <v>0.32987398427108594</v>
      </c>
      <c r="I40" s="758">
        <f>'7&amp;8 Day'!$N107+'7&amp;8 Day'!$AA107</f>
        <v>0.29760232792366287</v>
      </c>
      <c r="J40" s="758">
        <f>'7&amp;8 Day'!$N159+'7&amp;8 Day'!$AA159</f>
        <v>0.29746897695897478</v>
      </c>
      <c r="K40" s="758">
        <f>'7&amp;8 Day'!$N211+'7&amp;8 Day'!$AA211</f>
        <v>4.4082254206169944E-2</v>
      </c>
      <c r="L40" s="758">
        <f>'7&amp;8 Day'!$N264+'7&amp;8 Day'!$AA264</f>
        <v>0</v>
      </c>
      <c r="M40" s="758">
        <f>'7&amp;8 Day'!$N317+'7&amp;8 Day'!$AA317</f>
        <v>3.0972456640106425E-2</v>
      </c>
      <c r="N40" s="775">
        <f t="shared" si="8"/>
        <v>0.6365061346396591</v>
      </c>
      <c r="O40" s="776">
        <f>'7&amp;8 SU'!$N107+'7&amp;8 SU'!$AA107</f>
        <v>0.11499031057813638</v>
      </c>
      <c r="P40" s="776">
        <f>'7&amp;8 SU'!$N159+'7&amp;8 SU'!$AA159</f>
        <v>0.16573658060600838</v>
      </c>
      <c r="Q40" s="776">
        <f>'7&amp;8 SU'!$N211+'7&amp;8 SU'!$AA211</f>
        <v>7.5121610676343042E-2</v>
      </c>
      <c r="R40" s="776">
        <f>'7&amp;8 SU'!$N264+'7&amp;8 SU'!$AA264</f>
        <v>7.4923930155340853E-3</v>
      </c>
      <c r="S40" s="777">
        <f>'7&amp;8 SU'!$N317+'7&amp;8 SU'!$AA317</f>
        <v>1.529704843190378E-4</v>
      </c>
      <c r="T40" s="762">
        <f>B40*'Market Data'!$C$52+H40*'Market Data'!$M$52+N40*'Market Data'!$W$52</f>
        <v>0.28086445782489988</v>
      </c>
      <c r="U40" s="443">
        <f>SUM(C40:G40)*'Market Data'!$C$52+SUM(I40:M40)*'Market Data'!$M$52+SUM(O40:S40)*'Market Data'!$W$52</f>
        <v>0.71913554217510001</v>
      </c>
    </row>
    <row r="41" spans="1:26" ht="15" x14ac:dyDescent="0.25">
      <c r="A41" s="421">
        <v>2039</v>
      </c>
      <c r="B41" s="775">
        <f t="shared" si="6"/>
        <v>5.3698074058623591E-2</v>
      </c>
      <c r="C41" s="776">
        <f>'7&amp;8 Sleep'!$N108+'7&amp;8 Sleep'!$AA108</f>
        <v>0.3500623359100925</v>
      </c>
      <c r="D41" s="776">
        <f>'7&amp;8 Sleep'!$N160+'7&amp;8 Sleep'!$AA160</f>
        <v>0.34627198075435878</v>
      </c>
      <c r="E41" s="776">
        <f>'7&amp;8 Sleep'!$N212+'7&amp;8 Sleep'!$AA212</f>
        <v>0.24522876987565811</v>
      </c>
      <c r="F41" s="776">
        <f>'7&amp;8 Sleep'!$N265+'7&amp;8 Sleep'!$AA265</f>
        <v>5.374485894978951E-4</v>
      </c>
      <c r="G41" s="777">
        <f>'7&amp;8 Sleep'!$N318+'7&amp;8 Sleep'!$AA318</f>
        <v>4.2013908117690636E-3</v>
      </c>
      <c r="H41" s="758">
        <f t="shared" si="7"/>
        <v>0.32862285034342398</v>
      </c>
      <c r="I41" s="758">
        <f>'7&amp;8 Day'!$N108+'7&amp;8 Day'!$AA108</f>
        <v>0.27412025350178815</v>
      </c>
      <c r="J41" s="758">
        <f>'7&amp;8 Day'!$N160+'7&amp;8 Day'!$AA160</f>
        <v>0.27385349992984731</v>
      </c>
      <c r="K41" s="758">
        <f>'7&amp;8 Day'!$N212+'7&amp;8 Day'!$AA212</f>
        <v>5.1996855894687659E-2</v>
      </c>
      <c r="L41" s="758">
        <f>'7&amp;8 Day'!$N265+'7&amp;8 Day'!$AA265</f>
        <v>0</v>
      </c>
      <c r="M41" s="758">
        <f>'7&amp;8 Day'!$N318+'7&amp;8 Day'!$AA318</f>
        <v>7.1406540330252913E-2</v>
      </c>
      <c r="N41" s="775">
        <f t="shared" si="8"/>
        <v>0.63193147043638209</v>
      </c>
      <c r="O41" s="776">
        <f>'7&amp;8 SU'!$N108+'7&amp;8 SU'!$AA108</f>
        <v>0.11480411993991133</v>
      </c>
      <c r="P41" s="776">
        <f>'7&amp;8 SU'!$N160+'7&amp;8 SU'!$AA160</f>
        <v>0.16815594313248727</v>
      </c>
      <c r="Q41" s="776">
        <f>'7&amp;8 SU'!$N212+'7&amp;8 SU'!$AA212</f>
        <v>7.6224813404459454E-2</v>
      </c>
      <c r="R41" s="776">
        <f>'7&amp;8 SU'!$N265+'7&amp;8 SU'!$AA265</f>
        <v>8.4664500446828897E-3</v>
      </c>
      <c r="S41" s="777">
        <f>'7&amp;8 SU'!$N318+'7&amp;8 SU'!$AA318</f>
        <v>4.1720304207687871E-4</v>
      </c>
      <c r="T41" s="762">
        <f>B41*'Market Data'!$C$52+H41*'Market Data'!$M$52+N41*'Market Data'!$W$52</f>
        <v>0.27893871306726048</v>
      </c>
      <c r="U41" s="443">
        <f>SUM(C41:G41)*'Market Data'!$C$52+SUM(I41:M41)*'Market Data'!$M$52+SUM(O41:S41)*'Market Data'!$W$52</f>
        <v>0.7210612869327393</v>
      </c>
    </row>
    <row r="42" spans="1:26" ht="15" x14ac:dyDescent="0.25">
      <c r="A42" s="420">
        <v>2040</v>
      </c>
      <c r="B42" s="778">
        <f t="shared" si="6"/>
        <v>5.3411834867049701E-2</v>
      </c>
      <c r="C42" s="779">
        <f>'7&amp;8 Sleep'!$N109+'7&amp;8 Sleep'!$AA109</f>
        <v>0.3438026047293169</v>
      </c>
      <c r="D42" s="779">
        <f>'7&amp;8 Sleep'!$N161+'7&amp;8 Sleep'!$AA161</f>
        <v>0.33989481024124224</v>
      </c>
      <c r="E42" s="779">
        <f>'7&amp;8 Sleep'!$N213+'7&amp;8 Sleep'!$AA213</f>
        <v>0.24243432508893911</v>
      </c>
      <c r="F42" s="779">
        <f>'7&amp;8 Sleep'!$N266+'7&amp;8 Sleep'!$AA266</f>
        <v>1.481779635410637E-3</v>
      </c>
      <c r="G42" s="780">
        <f>'7&amp;8 Sleep'!$N319+'7&amp;8 Sleep'!$AA319</f>
        <v>1.8974645438041372E-2</v>
      </c>
      <c r="H42" s="947">
        <f t="shared" si="7"/>
        <v>0.32724011896869276</v>
      </c>
      <c r="I42" s="947">
        <f>'7&amp;8 Day'!$N109+'7&amp;8 Day'!$AA109</f>
        <v>0.25644757510045491</v>
      </c>
      <c r="J42" s="947">
        <f>'7&amp;8 Day'!$N161+'7&amp;8 Day'!$AA161</f>
        <v>0.25561130741750793</v>
      </c>
      <c r="K42" s="947">
        <f>'7&amp;8 Day'!$N213+'7&amp;8 Day'!$AA213</f>
        <v>6.4670529956400116E-2</v>
      </c>
      <c r="L42" s="947">
        <f>'7&amp;8 Day'!$N266+'7&amp;8 Day'!$AA266</f>
        <v>0</v>
      </c>
      <c r="M42" s="947">
        <f>'7&amp;8 Day'!$N319+'7&amp;8 Day'!$AA319</f>
        <v>9.603046855694429E-2</v>
      </c>
      <c r="N42" s="775">
        <f t="shared" si="8"/>
        <v>0.62352643718573675</v>
      </c>
      <c r="O42" s="776">
        <f>'7&amp;8 SU'!$N109+'7&amp;8 SU'!$AA109</f>
        <v>0.11567251071220086</v>
      </c>
      <c r="P42" s="776">
        <f>'7&amp;8 SU'!$N161+'7&amp;8 SU'!$AA161</f>
        <v>0.17358902116539157</v>
      </c>
      <c r="Q42" s="776">
        <f>'7&amp;8 SU'!$N213+'7&amp;8 SU'!$AA213</f>
        <v>7.6078371752166515E-2</v>
      </c>
      <c r="R42" s="776">
        <f>'7&amp;8 SU'!$N266+'7&amp;8 SU'!$AA266</f>
        <v>9.9271630530109595E-3</v>
      </c>
      <c r="S42" s="777">
        <f>'7&amp;8 SU'!$N319+'7&amp;8 SU'!$AA319</f>
        <v>1.2064961314933206E-3</v>
      </c>
      <c r="T42" s="763">
        <f>B42*'Market Data'!$C$52+H42*'Market Data'!$M$52+N42*'Market Data'!$W$52</f>
        <v>0.27619705987178128</v>
      </c>
      <c r="U42" s="446">
        <f>SUM(C42:G42)*'Market Data'!$C$52+SUM(I42:M42)*'Market Data'!$M$52+SUM(O42:S42)*'Market Data'!$W$52</f>
        <v>0.72380294012821866</v>
      </c>
    </row>
    <row r="43" spans="1:26" ht="15" x14ac:dyDescent="0.25">
      <c r="A43" s="421">
        <v>2041</v>
      </c>
      <c r="B43" s="783">
        <f t="shared" si="6"/>
        <v>5.3411767530748722E-2</v>
      </c>
      <c r="C43" s="784">
        <f>'7&amp;8 Sleep'!$N110+'7&amp;8 Sleep'!$AA110</f>
        <v>0.3380169553262321</v>
      </c>
      <c r="D43" s="784">
        <f>'7&amp;8 Sleep'!$N162+'7&amp;8 Sleep'!$AA162</f>
        <v>0.33413125725568837</v>
      </c>
      <c r="E43" s="784">
        <f>'7&amp;8 Sleep'!$N214+'7&amp;8 Sleep'!$AA214</f>
        <v>0.23795491091398807</v>
      </c>
      <c r="F43" s="784">
        <f>'7&amp;8 Sleep'!$N267+'7&amp;8 Sleep'!$AA267</f>
        <v>3.8276221935649342E-3</v>
      </c>
      <c r="G43" s="785">
        <f>'7&amp;8 Sleep'!$N320+'7&amp;8 Sleep'!$AA320</f>
        <v>3.2657486779777881E-2</v>
      </c>
      <c r="H43" s="760">
        <f t="shared" si="7"/>
        <v>0.3272400711113842</v>
      </c>
      <c r="I43" s="760">
        <f>'7&amp;8 Day'!$N110+'7&amp;8 Day'!$AA110</f>
        <v>0.24097026514782516</v>
      </c>
      <c r="J43" s="760">
        <f>'7&amp;8 Day'!$N162+'7&amp;8 Day'!$AA162</f>
        <v>0.24014197424756095</v>
      </c>
      <c r="K43" s="760">
        <f>'7&amp;8 Day'!$N214+'7&amp;8 Day'!$AA214</f>
        <v>8.0025654768276472E-2</v>
      </c>
      <c r="L43" s="760">
        <f>'7&amp;8 Day'!$N267+'7&amp;8 Day'!$AA267</f>
        <v>0</v>
      </c>
      <c r="M43" s="760">
        <f>'7&amp;8 Day'!$N320+'7&amp;8 Day'!$AA320</f>
        <v>0.11162203472495323</v>
      </c>
      <c r="N43" s="783">
        <f t="shared" si="8"/>
        <v>0.62231802930317703</v>
      </c>
      <c r="O43" s="784">
        <f>'7&amp;8 SU'!$N110+'7&amp;8 SU'!$AA110</f>
        <v>0.11448374234306767</v>
      </c>
      <c r="P43" s="784">
        <f>'7&amp;8 SU'!$N162+'7&amp;8 SU'!$AA162</f>
        <v>0.17269724041220691</v>
      </c>
      <c r="Q43" s="784">
        <f>'7&amp;8 SU'!$N214+'7&amp;8 SU'!$AA214</f>
        <v>7.5063175435440249E-2</v>
      </c>
      <c r="R43" s="784">
        <f>'7&amp;8 SU'!$N267+'7&amp;8 SU'!$AA267</f>
        <v>1.2517584324213883E-2</v>
      </c>
      <c r="S43" s="785">
        <f>'7&amp;8 SU'!$N320+'7&amp;8 SU'!$AA320</f>
        <v>2.9202281818941668E-3</v>
      </c>
      <c r="T43" s="767">
        <f>B43*'Market Data'!$C$52+H43*'Market Data'!$M$52+N43*'Market Data'!$W$52</f>
        <v>0.27587330765275775</v>
      </c>
      <c r="U43" s="452">
        <f>SUM(C43:G43)*'Market Data'!$C$52+SUM(I43:M43)*'Market Data'!$M$52+SUM(O43:S43)*'Market Data'!$W$52</f>
        <v>0.72412669234724225</v>
      </c>
    </row>
    <row r="44" spans="1:26" ht="15" x14ac:dyDescent="0.25">
      <c r="A44" s="421">
        <v>2042</v>
      </c>
      <c r="B44" s="775">
        <f t="shared" si="6"/>
        <v>5.3411742759104985E-2</v>
      </c>
      <c r="C44" s="776">
        <f>'7&amp;8 Sleep'!$N111+'7&amp;8 Sleep'!$AA111</f>
        <v>0.33051070996674337</v>
      </c>
      <c r="D44" s="776">
        <f>'7&amp;8 Sleep'!$N163+'7&amp;8 Sleep'!$AA163</f>
        <v>0.32701609700078987</v>
      </c>
      <c r="E44" s="776">
        <f>'7&amp;8 Sleep'!$N215+'7&amp;8 Sleep'!$AA215</f>
        <v>0.23233804020441789</v>
      </c>
      <c r="F44" s="776">
        <f>'7&amp;8 Sleep'!$N268+'7&amp;8 Sleep'!$AA268</f>
        <v>1.3404340740038592E-2</v>
      </c>
      <c r="G44" s="777">
        <f>'7&amp;8 Sleep'!$N321+'7&amp;8 Sleep'!$AA321</f>
        <v>4.3319069328905196E-2</v>
      </c>
      <c r="H44" s="758">
        <f t="shared" si="7"/>
        <v>0.31845077798164156</v>
      </c>
      <c r="I44" s="758">
        <f>'7&amp;8 Day'!$N111+'7&amp;8 Day'!$AA111</f>
        <v>0.22863135719937888</v>
      </c>
      <c r="J44" s="758">
        <f>'7&amp;8 Day'!$N163+'7&amp;8 Day'!$AA163</f>
        <v>0.22776597614521432</v>
      </c>
      <c r="K44" s="758">
        <f>'7&amp;8 Day'!$N215+'7&amp;8 Day'!$AA215</f>
        <v>0.10365271664976033</v>
      </c>
      <c r="L44" s="758">
        <f>'7&amp;8 Day'!$N268+'7&amp;8 Day'!$AA268</f>
        <v>4.4727041266095562E-5</v>
      </c>
      <c r="M44" s="758">
        <f>'7&amp;8 Day'!$N321+'7&amp;8 Day'!$AA321</f>
        <v>0.12145444498273882</v>
      </c>
      <c r="N44" s="775">
        <f t="shared" si="8"/>
        <v>0.62045500433738998</v>
      </c>
      <c r="O44" s="776">
        <f>'7&amp;8 SU'!$N111+'7&amp;8 SU'!$AA111</f>
        <v>0.11138869410759286</v>
      </c>
      <c r="P44" s="776">
        <f>'7&amp;8 SU'!$N163+'7&amp;8 SU'!$AA163</f>
        <v>0.16955048745394086</v>
      </c>
      <c r="Q44" s="776">
        <f>'7&amp;8 SU'!$N215+'7&amp;8 SU'!$AA215</f>
        <v>7.5112679181543768E-2</v>
      </c>
      <c r="R44" s="776">
        <f>'7&amp;8 SU'!$N268+'7&amp;8 SU'!$AA268</f>
        <v>1.7012875671224861E-2</v>
      </c>
      <c r="S44" s="777">
        <f>'7&amp;8 SU'!$N321+'7&amp;8 SU'!$AA321</f>
        <v>6.4802592483076387E-3</v>
      </c>
      <c r="T44" s="762">
        <f>B44*'Market Data'!$C$52+H44*'Market Data'!$M$52+N44*'Market Data'!$W$52</f>
        <v>0.27312535558477102</v>
      </c>
      <c r="U44" s="443">
        <f>SUM(C44:G44)*'Market Data'!$C$52+SUM(I44:M44)*'Market Data'!$M$52+SUM(O44:S44)*'Market Data'!$W$52</f>
        <v>0.72687464441522898</v>
      </c>
    </row>
    <row r="45" spans="1:26" ht="15" x14ac:dyDescent="0.25">
      <c r="A45" s="421">
        <v>2043</v>
      </c>
      <c r="B45" s="775">
        <f t="shared" si="6"/>
        <v>5.3411733646126502E-2</v>
      </c>
      <c r="C45" s="776">
        <f>'7&amp;8 Sleep'!$N112+'7&amp;8 Sleep'!$AA112</f>
        <v>0.31962529157380637</v>
      </c>
      <c r="D45" s="776">
        <f>'7&amp;8 Sleep'!$N164+'7&amp;8 Sleep'!$AA164</f>
        <v>0.31618238205224958</v>
      </c>
      <c r="E45" s="776">
        <f>'7&amp;8 Sleep'!$N216+'7&amp;8 Sleep'!$AA216</f>
        <v>0.22386261854350081</v>
      </c>
      <c r="F45" s="776">
        <f>'7&amp;8 Sleep'!$N269+'7&amp;8 Sleep'!$AA269</f>
        <v>3.768165700453583E-2</v>
      </c>
      <c r="G45" s="777">
        <f>'7&amp;8 Sleep'!$N322+'7&amp;8 Sleep'!$AA322</f>
        <v>4.9236317179780928E-2</v>
      </c>
      <c r="H45" s="758">
        <f t="shared" si="7"/>
        <v>0.28518239043533478</v>
      </c>
      <c r="I45" s="758">
        <f>'7&amp;8 Day'!$N112+'7&amp;8 Day'!$AA112</f>
        <v>0.22323077152391929</v>
      </c>
      <c r="J45" s="758">
        <f>'7&amp;8 Day'!$N164+'7&amp;8 Day'!$AA164</f>
        <v>0.22238320628385599</v>
      </c>
      <c r="K45" s="758">
        <f>'7&amp;8 Day'!$N216+'7&amp;8 Day'!$AA216</f>
        <v>0.13053797119845584</v>
      </c>
      <c r="L45" s="758">
        <f>'7&amp;8 Day'!$N269+'7&amp;8 Day'!$AA269</f>
        <v>2.2614942715878054E-3</v>
      </c>
      <c r="M45" s="758">
        <f>'7&amp;8 Day'!$N322+'7&amp;8 Day'!$AA322</f>
        <v>0.13640416628684629</v>
      </c>
      <c r="N45" s="775">
        <f t="shared" si="8"/>
        <v>0.62045499440492624</v>
      </c>
      <c r="O45" s="776">
        <f>'7&amp;8 SU'!$N112+'7&amp;8 SU'!$AA112</f>
        <v>0.10696220820355531</v>
      </c>
      <c r="P45" s="776">
        <f>'7&amp;8 SU'!$N164+'7&amp;8 SU'!$AA164</f>
        <v>0.16348332190916942</v>
      </c>
      <c r="Q45" s="776">
        <f>'7&amp;8 SU'!$N216+'7&amp;8 SU'!$AA216</f>
        <v>7.188512345876108E-2</v>
      </c>
      <c r="R45" s="776">
        <f>'7&amp;8 SU'!$N269+'7&amp;8 SU'!$AA269</f>
        <v>2.4677776240838459E-2</v>
      </c>
      <c r="S45" s="777">
        <f>'7&amp;8 SU'!$N322+'7&amp;8 SU'!$AA322</f>
        <v>1.2536575782749457E-2</v>
      </c>
      <c r="T45" s="762">
        <f>B45*'Market Data'!$C$52+H45*'Market Data'!$M$52+N45*'Market Data'!$W$52</f>
        <v>0.26461312779439439</v>
      </c>
      <c r="U45" s="443">
        <f>SUM(C45:G45)*'Market Data'!$C$52+SUM(I45:M45)*'Market Data'!$M$52+SUM(O45:S45)*'Market Data'!$W$52</f>
        <v>0.73538687220560561</v>
      </c>
    </row>
    <row r="46" spans="1:26" ht="15" x14ac:dyDescent="0.25">
      <c r="A46" s="421">
        <v>2044</v>
      </c>
      <c r="B46" s="775">
        <f t="shared" si="6"/>
        <v>5.3411730293649096E-2</v>
      </c>
      <c r="C46" s="776">
        <f>'7&amp;8 Sleep'!$N113+'7&amp;8 Sleep'!$AA113</f>
        <v>0.30787127081573057</v>
      </c>
      <c r="D46" s="776">
        <f>'7&amp;8 Sleep'!$N165+'7&amp;8 Sleep'!$AA165</f>
        <v>0.30413858810988276</v>
      </c>
      <c r="E46" s="776">
        <f>'7&amp;8 Sleep'!$N217+'7&amp;8 Sleep'!$AA217</f>
        <v>0.21275401102958696</v>
      </c>
      <c r="F46" s="776">
        <f>'7&amp;8 Sleep'!$N270+'7&amp;8 Sleep'!$AA270</f>
        <v>6.9490384861531238E-2</v>
      </c>
      <c r="G46" s="777">
        <f>'7&amp;8 Sleep'!$N323+'7&amp;8 Sleep'!$AA323</f>
        <v>5.2334014889619425E-2</v>
      </c>
      <c r="H46" s="758">
        <f t="shared" si="7"/>
        <v>0.25673948473816233</v>
      </c>
      <c r="I46" s="758">
        <f>'7&amp;8 Day'!$N113+'7&amp;8 Day'!$AA113</f>
        <v>0.21500933063295213</v>
      </c>
      <c r="J46" s="758">
        <f>'7&amp;8 Day'!$N165+'7&amp;8 Day'!$AA165</f>
        <v>0.2141348401030097</v>
      </c>
      <c r="K46" s="758">
        <f>'7&amp;8 Day'!$N217+'7&amp;8 Day'!$AA217</f>
        <v>0.1563515692271977</v>
      </c>
      <c r="L46" s="758">
        <f>'7&amp;8 Day'!$N270+'7&amp;8 Day'!$AA270</f>
        <v>9.6567997832195992E-3</v>
      </c>
      <c r="M46" s="758">
        <f>'7&amp;8 Day'!$N323+'7&amp;8 Day'!$AA323</f>
        <v>0.14810797551545857</v>
      </c>
      <c r="N46" s="775">
        <f t="shared" si="8"/>
        <v>0.62186841264438053</v>
      </c>
      <c r="O46" s="776">
        <f>'7&amp;8 SU'!$N113+'7&amp;8 SU'!$AA113</f>
        <v>0.10145282779527248</v>
      </c>
      <c r="P46" s="776">
        <f>'7&amp;8 SU'!$N165+'7&amp;8 SU'!$AA165</f>
        <v>0.15492287974353777</v>
      </c>
      <c r="Q46" s="776">
        <f>'7&amp;8 SU'!$N217+'7&amp;8 SU'!$AA217</f>
        <v>6.6003025462648232E-2</v>
      </c>
      <c r="R46" s="776">
        <f>'7&amp;8 SU'!$N270+'7&amp;8 SU'!$AA270</f>
        <v>3.4825787888914224E-2</v>
      </c>
      <c r="S46" s="777">
        <f>'7&amp;8 SU'!$N323+'7&amp;8 SU'!$AA323</f>
        <v>2.0927066465246766E-2</v>
      </c>
      <c r="T46" s="762">
        <f>B46*'Market Data'!$C$52+H46*'Market Data'!$M$52+N46*'Market Data'!$W$52</f>
        <v>0.25771420403068612</v>
      </c>
      <c r="U46" s="443">
        <f>SUM(C46:G46)*'Market Data'!$C$52+SUM(I46:M46)*'Market Data'!$M$52+SUM(O46:S46)*'Market Data'!$W$52</f>
        <v>0.74228579596931388</v>
      </c>
    </row>
    <row r="47" spans="1:26" ht="15" x14ac:dyDescent="0.25">
      <c r="A47" s="420">
        <v>2045</v>
      </c>
      <c r="B47" s="778">
        <f t="shared" si="6"/>
        <v>5.3411729060341528E-2</v>
      </c>
      <c r="C47" s="779">
        <f>'7&amp;8 Sleep'!$N114+'7&amp;8 Sleep'!$AA114</f>
        <v>0.29425409089645527</v>
      </c>
      <c r="D47" s="779">
        <f>'7&amp;8 Sleep'!$N166+'7&amp;8 Sleep'!$AA166</f>
        <v>0.29062296607498156</v>
      </c>
      <c r="E47" s="779">
        <f>'7&amp;8 Sleep'!$N218+'7&amp;8 Sleep'!$AA218</f>
        <v>0.20490865046230008</v>
      </c>
      <c r="F47" s="779">
        <f>'7&amp;8 Sleep'!$N271+'7&amp;8 Sleep'!$AA271</f>
        <v>0.10116041501338618</v>
      </c>
      <c r="G47" s="780">
        <f>'7&amp;8 Sleep'!$N324+'7&amp;8 Sleep'!$AA324</f>
        <v>5.5642148492535334E-2</v>
      </c>
      <c r="H47" s="759">
        <f t="shared" si="7"/>
        <v>0.2317341854948225</v>
      </c>
      <c r="I47" s="759">
        <f>'7&amp;8 Day'!$N114+'7&amp;8 Day'!$AA114</f>
        <v>0.20891591507104634</v>
      </c>
      <c r="J47" s="759">
        <f>'7&amp;8 Day'!$N166+'7&amp;8 Day'!$AA166</f>
        <v>0.2080582704286697</v>
      </c>
      <c r="K47" s="759">
        <f>'7&amp;8 Day'!$N218+'7&amp;8 Day'!$AA218</f>
        <v>0.17639274357301377</v>
      </c>
      <c r="L47" s="759">
        <f>'7&amp;8 Day'!$N271+'7&amp;8 Day'!$AA271</f>
        <v>1.9217742184195474E-2</v>
      </c>
      <c r="M47" s="759">
        <f>'7&amp;8 Day'!$N324+'7&amp;8 Day'!$AA324</f>
        <v>0.15568114324825219</v>
      </c>
      <c r="N47" s="778">
        <f t="shared" si="8"/>
        <v>0.62045498940676413</v>
      </c>
      <c r="O47" s="779">
        <f>'7&amp;8 SU'!$N114+'7&amp;8 SU'!$AA114</f>
        <v>9.4480516659736585E-2</v>
      </c>
      <c r="P47" s="779">
        <f>'7&amp;8 SU'!$N166+'7&amp;8 SU'!$AA166</f>
        <v>0.14415242851397475</v>
      </c>
      <c r="Q47" s="779">
        <f>'7&amp;8 SU'!$N218+'7&amp;8 SU'!$AA218</f>
        <v>6.1889208738762004E-2</v>
      </c>
      <c r="R47" s="779">
        <f>'7&amp;8 SU'!$N271+'7&amp;8 SU'!$AA271</f>
        <v>4.6092087658403072E-2</v>
      </c>
      <c r="S47" s="780">
        <f>'7&amp;8 SU'!$N324+'7&amp;8 SU'!$AA324</f>
        <v>3.2930769022359432E-2</v>
      </c>
      <c r="T47" s="763">
        <f>B47*'Market Data'!$C$52+H47*'Market Data'!$M$52+N47*'Market Data'!$W$52</f>
        <v>0.25093759158669582</v>
      </c>
      <c r="U47" s="446">
        <f>SUM(C47:G47)*'Market Data'!$C$52+SUM(I47:M47)*'Market Data'!$M$52+SUM(O47:S47)*'Market Data'!$W$52</f>
        <v>0.74906240841330407</v>
      </c>
      <c r="V47" s="443">
        <f>D47*'Market Data'!$C$52+J47*'Market Data'!$M$52+P47*'Market Data'!$W$52</f>
        <v>0.23026105902691735</v>
      </c>
      <c r="W47" s="443">
        <f>E47*'Market Data'!$C$52+Q47*'Market Data'!$W$52</f>
        <v>0.11416766814033016</v>
      </c>
      <c r="X47" s="443">
        <f>F47*'Market Data'!$C$52+L47*'Market Data'!$M$52</f>
        <v>5.3095322596764027E-2</v>
      </c>
      <c r="Y47" s="443">
        <f>K47*'Market Data'!$M$52+R47*'Market Data'!$W$52</f>
        <v>5.747988806683775E-2</v>
      </c>
      <c r="Z47" s="1397">
        <f>1-SUM(V47:Y47)</f>
        <v>0.54499606216915075</v>
      </c>
    </row>
    <row r="48" spans="1:26" ht="15" x14ac:dyDescent="0.25">
      <c r="A48" s="421">
        <v>2046</v>
      </c>
      <c r="B48" s="783">
        <f t="shared" si="6"/>
        <v>5.3697785300208078E-2</v>
      </c>
      <c r="C48" s="784">
        <f>'7&amp;8 Sleep'!$N115+'7&amp;8 Sleep'!$AA115</f>
        <v>0.28768680692352339</v>
      </c>
      <c r="D48" s="784">
        <f>'7&amp;8 Sleep'!$N167+'7&amp;8 Sleep'!$AA167</f>
        <v>0.28421675673649871</v>
      </c>
      <c r="E48" s="784">
        <f>'7&amp;8 Sleep'!$N219+'7&amp;8 Sleep'!$AA219</f>
        <v>0.19743942837011796</v>
      </c>
      <c r="F48" s="784">
        <f>'7&amp;8 Sleep'!$N272+'7&amp;8 Sleep'!$AA272</f>
        <v>0.11872379018047405</v>
      </c>
      <c r="G48" s="785">
        <f>'7&amp;8 Sleep'!$N325+'7&amp;8 Sleep'!$AA325</f>
        <v>5.8235432489177799E-2</v>
      </c>
      <c r="H48" s="760">
        <f t="shared" si="7"/>
        <v>0.21433804646976673</v>
      </c>
      <c r="I48" s="760">
        <f>'7&amp;8 Day'!$N115+'7&amp;8 Day'!$AA115</f>
        <v>0.2050130323340783</v>
      </c>
      <c r="J48" s="760">
        <f>'7&amp;8 Day'!$N167+'7&amp;8 Day'!$AA167</f>
        <v>0.20441624379852047</v>
      </c>
      <c r="K48" s="760">
        <f>'7&amp;8 Day'!$N219+'7&amp;8 Day'!$AA219</f>
        <v>0.18885409051751681</v>
      </c>
      <c r="L48" s="760">
        <f>'7&amp;8 Day'!$N272+'7&amp;8 Day'!$AA272</f>
        <v>2.709917965395979E-2</v>
      </c>
      <c r="M48" s="760">
        <f>'7&amp;8 Day'!$N325+'7&amp;8 Day'!$AA325</f>
        <v>0.16027940722615786</v>
      </c>
      <c r="N48" s="783">
        <f t="shared" si="8"/>
        <v>0.62352632230706373</v>
      </c>
      <c r="O48" s="784">
        <f>'7&amp;8 SU'!$N115+'7&amp;8 SU'!$AA115</f>
        <v>8.9619411427993428E-2</v>
      </c>
      <c r="P48" s="784">
        <f>'7&amp;8 SU'!$N167+'7&amp;8 SU'!$AA167</f>
        <v>0.13596148817088693</v>
      </c>
      <c r="Q48" s="784">
        <f>'7&amp;8 SU'!$N219+'7&amp;8 SU'!$AA219</f>
        <v>5.9170723236285569E-2</v>
      </c>
      <c r="R48" s="784">
        <f>'7&amp;8 SU'!$N272+'7&amp;8 SU'!$AA272</f>
        <v>5.1281271040506185E-2</v>
      </c>
      <c r="S48" s="785">
        <f>'7&amp;8 SU'!$N325+'7&amp;8 SU'!$AA325</f>
        <v>4.0440783817264146E-2</v>
      </c>
      <c r="T48" s="767">
        <f>B48*'Market Data'!$C$52+H48*'Market Data'!$M$52+N48*'Market Data'!$W$52</f>
        <v>0.24744550937107737</v>
      </c>
      <c r="U48" s="452">
        <f>SUM(C48:G48)*'Market Data'!$C$52+SUM(I48:M48)*'Market Data'!$M$52+SUM(O48:S48)*'Market Data'!$W$52</f>
        <v>0.75255449062892255</v>
      </c>
    </row>
    <row r="49" spans="1:21" ht="15" x14ac:dyDescent="0.25">
      <c r="A49" s="421">
        <v>2047</v>
      </c>
      <c r="B49" s="775">
        <f t="shared" si="6"/>
        <v>5.4495523770948573E-2</v>
      </c>
      <c r="C49" s="776">
        <f>'7&amp;8 Sleep'!$N116+'7&amp;8 Sleep'!$AA116</f>
        <v>0.28150418855403753</v>
      </c>
      <c r="D49" s="776">
        <f>'7&amp;8 Sleep'!$N168+'7&amp;8 Sleep'!$AA168</f>
        <v>0.27851009242749419</v>
      </c>
      <c r="E49" s="776">
        <f>'7&amp;8 Sleep'!$N220+'7&amp;8 Sleep'!$AA220</f>
        <v>0.19324752497514991</v>
      </c>
      <c r="F49" s="776">
        <f>'7&amp;8 Sleep'!$N273+'7&amp;8 Sleep'!$AA273</f>
        <v>0.12988601929861848</v>
      </c>
      <c r="G49" s="777">
        <f>'7&amp;8 Sleep'!$N326+'7&amp;8 Sleep'!$AA326</f>
        <v>6.2356650973751433E-2</v>
      </c>
      <c r="H49" s="758">
        <f t="shared" si="7"/>
        <v>0.20213742634224374</v>
      </c>
      <c r="I49" s="758">
        <f>'7&amp;8 Day'!$N116+'7&amp;8 Day'!$AA116</f>
        <v>0.20237838256804153</v>
      </c>
      <c r="J49" s="758">
        <f>'7&amp;8 Day'!$N168+'7&amp;8 Day'!$AA168</f>
        <v>0.20204971396374127</v>
      </c>
      <c r="K49" s="758">
        <f>'7&amp;8 Day'!$N220+'7&amp;8 Day'!$AA220</f>
        <v>0.19574254843942959</v>
      </c>
      <c r="L49" s="758">
        <f>'7&amp;8 Day'!$N273+'7&amp;8 Day'!$AA273</f>
        <v>3.3283154242359558E-2</v>
      </c>
      <c r="M49" s="758">
        <f>'7&amp;8 Day'!$N326+'7&amp;8 Day'!$AA326</f>
        <v>0.16440877444418422</v>
      </c>
      <c r="N49" s="775">
        <f t="shared" si="8"/>
        <v>0.63193116465591959</v>
      </c>
      <c r="O49" s="776">
        <f>'7&amp;8 SU'!$N116+'7&amp;8 SU'!$AA116</f>
        <v>8.5687893950261565E-2</v>
      </c>
      <c r="P49" s="776">
        <f>'7&amp;8 SU'!$N168+'7&amp;8 SU'!$AA168</f>
        <v>0.1262892813744258</v>
      </c>
      <c r="Q49" s="776">
        <f>'7&amp;8 SU'!$N220+'7&amp;8 SU'!$AA220</f>
        <v>5.6045182951792644E-2</v>
      </c>
      <c r="R49" s="776">
        <f>'7&amp;8 SU'!$N273+'7&amp;8 SU'!$AA273</f>
        <v>5.4765413160533752E-2</v>
      </c>
      <c r="S49" s="777">
        <f>'7&amp;8 SU'!$N326+'7&amp;8 SU'!$AA326</f>
        <v>4.5281063907066592E-2</v>
      </c>
      <c r="T49" s="762">
        <f>B49*'Market Data'!$C$52+H49*'Market Data'!$M$52+N49*'Market Data'!$W$52</f>
        <v>0.24695520941587307</v>
      </c>
      <c r="U49" s="443">
        <f>SUM(C49:G49)*'Market Data'!$C$52+SUM(I49:M49)*'Market Data'!$M$52+SUM(O49:S49)*'Market Data'!$W$52</f>
        <v>0.75304479058412688</v>
      </c>
    </row>
    <row r="50" spans="1:21" ht="15" x14ac:dyDescent="0.25">
      <c r="A50" s="421">
        <v>2048</v>
      </c>
      <c r="B50" s="775">
        <f t="shared" si="6"/>
        <v>5.369778530020819E-2</v>
      </c>
      <c r="C50" s="776">
        <f>'7&amp;8 Sleep'!$N117+'7&amp;8 Sleep'!$AA117</f>
        <v>0.27816050393767072</v>
      </c>
      <c r="D50" s="776">
        <f>'7&amp;8 Sleep'!$N169+'7&amp;8 Sleep'!$AA169</f>
        <v>0.2747788992033291</v>
      </c>
      <c r="E50" s="776">
        <f>'7&amp;8 Sleep'!$N221+'7&amp;8 Sleep'!$AA221</f>
        <v>0.19048116393217887</v>
      </c>
      <c r="F50" s="776">
        <f>'7&amp;8 Sleep'!$N274+'7&amp;8 Sleep'!$AA274</f>
        <v>0.13744830293477117</v>
      </c>
      <c r="G50" s="777">
        <f>'7&amp;8 Sleep'!$N327+'7&amp;8 Sleep'!$AA327</f>
        <v>6.5433344691842033E-2</v>
      </c>
      <c r="H50" s="758">
        <f t="shared" si="7"/>
        <v>0.18317862970419552</v>
      </c>
      <c r="I50" s="758">
        <f>'7&amp;8 Day'!$N117+'7&amp;8 Day'!$AA117</f>
        <v>0.20151443939783126</v>
      </c>
      <c r="J50" s="758">
        <f>'7&amp;8 Day'!$N169+'7&amp;8 Day'!$AA169</f>
        <v>0.20118762508806393</v>
      </c>
      <c r="K50" s="758">
        <f>'7&amp;8 Day'!$N221+'7&amp;8 Day'!$AA221</f>
        <v>0.20138629920938533</v>
      </c>
      <c r="L50" s="758">
        <f>'7&amp;8 Day'!$N274+'7&amp;8 Day'!$AA274</f>
        <v>3.7665202292405303E-2</v>
      </c>
      <c r="M50" s="758">
        <f>'7&amp;8 Day'!$N327+'7&amp;8 Day'!$AA327</f>
        <v>0.17506780430811861</v>
      </c>
      <c r="N50" s="775">
        <f t="shared" si="8"/>
        <v>0.63193116465591981</v>
      </c>
      <c r="O50" s="776">
        <f>'7&amp;8 SU'!$N117+'7&amp;8 SU'!$AA117</f>
        <v>8.427622221592776E-2</v>
      </c>
      <c r="P50" s="776">
        <f>'7&amp;8 SU'!$N169+'7&amp;8 SU'!$AA169</f>
        <v>0.12411454934192277</v>
      </c>
      <c r="Q50" s="776">
        <f>'7&amp;8 SU'!$N221+'7&amp;8 SU'!$AA221</f>
        <v>5.5209007897374929E-2</v>
      </c>
      <c r="R50" s="776">
        <f>'7&amp;8 SU'!$N274+'7&amp;8 SU'!$AA274</f>
        <v>5.5652976917073008E-2</v>
      </c>
      <c r="S50" s="777">
        <f>'7&amp;8 SU'!$N327+'7&amp;8 SU'!$AA327</f>
        <v>4.8816078971781821E-2</v>
      </c>
      <c r="T50" s="762">
        <f>B50*'Market Data'!$C$52+H50*'Market Data'!$M$52+N50*'Market Data'!$W$52</f>
        <v>0.24172438708962768</v>
      </c>
      <c r="U50" s="443">
        <f>SUM(C50:G50)*'Market Data'!$C$52+SUM(I50:M50)*'Market Data'!$M$52+SUM(O50:S50)*'Market Data'!$W$52</f>
        <v>0.75827561291037227</v>
      </c>
    </row>
    <row r="51" spans="1:21" ht="15" x14ac:dyDescent="0.25">
      <c r="A51" s="421">
        <v>2049</v>
      </c>
      <c r="B51" s="775">
        <f t="shared" si="6"/>
        <v>5.4495523770948462E-2</v>
      </c>
      <c r="C51" s="776">
        <f>'7&amp;8 Sleep'!$N118+'7&amp;8 Sleep'!$AA118</f>
        <v>0.27390419634685448</v>
      </c>
      <c r="D51" s="776">
        <f>'7&amp;8 Sleep'!$N170+'7&amp;8 Sleep'!$AA170</f>
        <v>0.27098039260836898</v>
      </c>
      <c r="E51" s="776">
        <f>'7&amp;8 Sleep'!$N222+'7&amp;8 Sleep'!$AA222</f>
        <v>0.18613602357514569</v>
      </c>
      <c r="F51" s="776">
        <f>'7&amp;8 Sleep'!$N275+'7&amp;8 Sleep'!$AA275</f>
        <v>0.14231223055690556</v>
      </c>
      <c r="G51" s="777">
        <f>'7&amp;8 Sleep'!$N328+'7&amp;8 Sleep'!$AA328</f>
        <v>7.2171633141776853E-2</v>
      </c>
      <c r="H51" s="758">
        <f t="shared" si="7"/>
        <v>0.16938648922169297</v>
      </c>
      <c r="I51" s="758">
        <f>'7&amp;8 Day'!$N118+'7&amp;8 Day'!$AA118</f>
        <v>0.20041051410055011</v>
      </c>
      <c r="J51" s="758">
        <f>'7&amp;8 Day'!$N170+'7&amp;8 Day'!$AA170</f>
        <v>0.20008409653791381</v>
      </c>
      <c r="K51" s="758">
        <f>'7&amp;8 Day'!$N222+'7&amp;8 Day'!$AA222</f>
        <v>0.20292205050697215</v>
      </c>
      <c r="L51" s="758">
        <f>'7&amp;8 Day'!$N275+'7&amp;8 Day'!$AA275</f>
        <v>4.0758008152818583E-2</v>
      </c>
      <c r="M51" s="758">
        <f>'7&amp;8 Day'!$N328+'7&amp;8 Day'!$AA328</f>
        <v>0.18643884148005233</v>
      </c>
      <c r="N51" s="775">
        <f t="shared" si="8"/>
        <v>0.63650531329940807</v>
      </c>
      <c r="O51" s="776">
        <f>'7&amp;8 SU'!$N118+'7&amp;8 SU'!$AA118</f>
        <v>8.2559500691314014E-2</v>
      </c>
      <c r="P51" s="776">
        <f>'7&amp;8 SU'!$N170+'7&amp;8 SU'!$AA170</f>
        <v>0.11947888134412363</v>
      </c>
      <c r="Q51" s="776">
        <f>'7&amp;8 SU'!$N222+'7&amp;8 SU'!$AA222</f>
        <v>5.4186250987615786E-2</v>
      </c>
      <c r="R51" s="776">
        <f>'7&amp;8 SU'!$N275+'7&amp;8 SU'!$AA275</f>
        <v>5.6522612970082139E-2</v>
      </c>
      <c r="S51" s="777">
        <f>'7&amp;8 SU'!$N328+'7&amp;8 SU'!$AA328</f>
        <v>5.0747440707456376E-2</v>
      </c>
      <c r="T51" s="762">
        <f>B51*'Market Data'!$C$52+H51*'Market Data'!$M$52+N51*'Market Data'!$W$52</f>
        <v>0.23980070758322053</v>
      </c>
      <c r="U51" s="443">
        <f>SUM(C51:G51)*'Market Data'!$C$52+SUM(I51:M51)*'Market Data'!$M$52+SUM(O51:S51)*'Market Data'!$W$52</f>
        <v>0.76019929241677942</v>
      </c>
    </row>
    <row r="52" spans="1:21" ht="15.75" thickBot="1" x14ac:dyDescent="0.3">
      <c r="A52" s="422">
        <v>2050</v>
      </c>
      <c r="B52" s="786">
        <f t="shared" si="6"/>
        <v>5.4495523770948351E-2</v>
      </c>
      <c r="C52" s="787">
        <f>'7&amp;8 Sleep'!$N119+'7&amp;8 Sleep'!$AA119</f>
        <v>0.27115838862160391</v>
      </c>
      <c r="D52" s="787">
        <f>'7&amp;8 Sleep'!$N171+'7&amp;8 Sleep'!$AA171</f>
        <v>0.26826342675080628</v>
      </c>
      <c r="E52" s="787">
        <f>'7&amp;8 Sleep'!$N223+'7&amp;8 Sleep'!$AA223</f>
        <v>0.18383669514985979</v>
      </c>
      <c r="F52" s="787">
        <f>'7&amp;8 Sleep'!$N276+'7&amp;8 Sleep'!$AA276</f>
        <v>0.14600976212422209</v>
      </c>
      <c r="G52" s="788">
        <f>'7&amp;8 Sleep'!$N329+'7&amp;8 Sleep'!$AA329</f>
        <v>7.6236203582559503E-2</v>
      </c>
      <c r="H52" s="761">
        <f t="shared" si="7"/>
        <v>0.15623609059467425</v>
      </c>
      <c r="I52" s="761">
        <f>'7&amp;8 Day'!$N119+'7&amp;8 Day'!$AA119</f>
        <v>0.19977515155670206</v>
      </c>
      <c r="J52" s="761">
        <f>'7&amp;8 Day'!$N171+'7&amp;8 Day'!$AA171</f>
        <v>0.19944893409129072</v>
      </c>
      <c r="K52" s="761">
        <f>'7&amp;8 Day'!$N223+'7&amp;8 Day'!$AA223</f>
        <v>0.20462734499130902</v>
      </c>
      <c r="L52" s="761">
        <f>'7&amp;8 Day'!$N276+'7&amp;8 Day'!$AA276</f>
        <v>4.3724783918964803E-2</v>
      </c>
      <c r="M52" s="761">
        <f>'7&amp;8 Day'!$N329+'7&amp;8 Day'!$AA329</f>
        <v>0.19618769484705906</v>
      </c>
      <c r="N52" s="786">
        <f t="shared" si="8"/>
        <v>0.63650531329940807</v>
      </c>
      <c r="O52" s="787">
        <f>'7&amp;8 SU'!$N119+'7&amp;8 SU'!$AA119</f>
        <v>8.1931540782855361E-2</v>
      </c>
      <c r="P52" s="787">
        <f>'7&amp;8 SU'!$N171+'7&amp;8 SU'!$AA171</f>
        <v>0.11855841674127368</v>
      </c>
      <c r="Q52" s="787">
        <f>'7&amp;8 SU'!$N223+'7&amp;8 SU'!$AA223</f>
        <v>5.3792144299620884E-2</v>
      </c>
      <c r="R52" s="787">
        <f>'7&amp;8 SU'!$N276+'7&amp;8 SU'!$AA276</f>
        <v>5.6076906459200396E-2</v>
      </c>
      <c r="S52" s="788">
        <f>'7&amp;8 SU'!$N329+'7&amp;8 SU'!$AA329</f>
        <v>5.3135678417641587E-2</v>
      </c>
      <c r="T52" s="765">
        <f>B52*'Market Data'!$C$52+H52*'Market Data'!$M$52+N52*'Market Data'!$W$52</f>
        <v>0.23643597893719848</v>
      </c>
      <c r="U52" s="455">
        <f>SUM(C52:G52)*'Market Data'!$C$52+SUM(I52:M52)*'Market Data'!$M$52+SUM(O52:S52)*'Market Data'!$W$52</f>
        <v>0.76356402106280141</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415"/>
    <col min="2" max="2" width="14.28515625" style="415" customWidth="1"/>
    <col min="3" max="7" width="10.42578125" style="415" customWidth="1"/>
    <col min="8" max="8" width="13.42578125" style="415" customWidth="1"/>
    <col min="9" max="14" width="10.42578125" style="415" customWidth="1"/>
    <col min="15" max="15" width="11.28515625" style="415" bestFit="1" customWidth="1"/>
    <col min="16" max="16384" width="9.140625" style="415"/>
  </cols>
  <sheetData>
    <row r="1" spans="1:24" x14ac:dyDescent="0.2">
      <c r="A1" s="967" t="s">
        <v>270</v>
      </c>
    </row>
    <row r="2" spans="1:24" ht="13.5" thickBot="1" x14ac:dyDescent="0.25"/>
    <row r="3" spans="1:24" ht="19.5" thickBot="1" x14ac:dyDescent="0.35">
      <c r="A3" s="1596" t="s">
        <v>153</v>
      </c>
      <c r="B3" s="1597"/>
      <c r="C3" s="1597"/>
      <c r="D3" s="1597"/>
      <c r="E3" s="1597"/>
      <c r="F3" s="1597"/>
      <c r="G3" s="1597"/>
      <c r="H3" s="1597"/>
      <c r="I3" s="1597"/>
      <c r="J3" s="1597"/>
      <c r="K3" s="1597"/>
      <c r="L3" s="1597"/>
      <c r="M3" s="1597"/>
      <c r="N3" s="1597"/>
      <c r="O3" s="1597"/>
      <c r="P3" s="1597"/>
      <c r="Q3" s="1597"/>
      <c r="R3" s="1597"/>
      <c r="S3" s="1597"/>
      <c r="T3" s="1597"/>
      <c r="U3" s="1598"/>
    </row>
    <row r="4" spans="1:24" ht="15" x14ac:dyDescent="0.25">
      <c r="A4" s="418"/>
      <c r="B4" s="1594" t="s">
        <v>258</v>
      </c>
      <c r="C4" s="1605"/>
      <c r="D4" s="1605"/>
      <c r="E4" s="1605"/>
      <c r="F4" s="1605"/>
      <c r="G4" s="1595"/>
      <c r="H4" s="1594" t="s">
        <v>259</v>
      </c>
      <c r="I4" s="1605"/>
      <c r="J4" s="1605"/>
      <c r="K4" s="1605"/>
      <c r="L4" s="1605"/>
      <c r="M4" s="1595"/>
      <c r="N4" s="1594" t="s">
        <v>156</v>
      </c>
      <c r="O4" s="1605"/>
      <c r="P4" s="1605"/>
      <c r="Q4" s="1605"/>
      <c r="R4" s="1605"/>
      <c r="S4" s="1595"/>
      <c r="T4" s="1617" t="s">
        <v>155</v>
      </c>
      <c r="U4" s="1616"/>
    </row>
    <row r="5" spans="1:24" ht="15" x14ac:dyDescent="0.25">
      <c r="A5" s="419"/>
      <c r="B5" s="1602" t="s">
        <v>129</v>
      </c>
      <c r="C5" s="1603"/>
      <c r="D5" s="1603"/>
      <c r="E5" s="1603"/>
      <c r="F5" s="1603"/>
      <c r="G5" s="1604"/>
      <c r="H5" s="1602" t="s">
        <v>129</v>
      </c>
      <c r="I5" s="1603"/>
      <c r="J5" s="1603"/>
      <c r="K5" s="1603"/>
      <c r="L5" s="1603"/>
      <c r="M5" s="1604"/>
      <c r="N5" s="1602" t="s">
        <v>129</v>
      </c>
      <c r="O5" s="1603"/>
      <c r="P5" s="1603"/>
      <c r="Q5" s="1603"/>
      <c r="R5" s="1603"/>
      <c r="S5" s="1604"/>
      <c r="T5" s="1592" t="s">
        <v>129</v>
      </c>
      <c r="U5" s="1593"/>
    </row>
    <row r="6" spans="1:24"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8"/>
      <c r="U6" s="750"/>
    </row>
    <row r="7" spans="1:24" ht="45" x14ac:dyDescent="0.25">
      <c r="A7" s="419"/>
      <c r="B7" s="1217" t="str">
        <f t="shared" ref="B7:G7" si="0">INDEX(TECH_OPT_DESC_Cls1,MATCH(B6,TECH_OPT_ROWS_Cls1,0))</f>
        <v>Conventional Diesel ICE</v>
      </c>
      <c r="C7" s="1218" t="str">
        <f t="shared" si="0"/>
        <v>Adv Conv</v>
      </c>
      <c r="D7" s="1218" t="str">
        <f t="shared" si="0"/>
        <v>ISG</v>
      </c>
      <c r="E7" s="1218" t="str">
        <f t="shared" si="0"/>
        <v>HEV</v>
      </c>
      <c r="F7" s="1218" t="str">
        <f t="shared" si="0"/>
        <v>PHEV</v>
      </c>
      <c r="G7" s="1219" t="str">
        <f t="shared" si="0"/>
        <v>FCHEV</v>
      </c>
      <c r="H7" s="1217" t="str">
        <f t="shared" ref="H7:M7" si="1">INDEX(TECH_OPT_DESC_Cls2,MATCH(H6,TECH_OPT_ROWS_Cls2,0))</f>
        <v>Conventional Diesel ICE</v>
      </c>
      <c r="I7" s="1218" t="str">
        <f t="shared" si="1"/>
        <v>Adv Conv</v>
      </c>
      <c r="J7" s="1218" t="str">
        <f t="shared" si="1"/>
        <v>ISG</v>
      </c>
      <c r="K7" s="1218" t="str">
        <f t="shared" si="1"/>
        <v>PHEV</v>
      </c>
      <c r="L7" s="1218" t="str">
        <f t="shared" si="1"/>
        <v>BEV</v>
      </c>
      <c r="M7" s="1219" t="str">
        <f t="shared" si="1"/>
        <v>FCHEV</v>
      </c>
      <c r="N7" s="1217" t="str">
        <f t="shared" ref="N7:S7" si="2">INDEX(TECH_OPT_DESC_Cls3,MATCH(N6,TECH_OPT_ROWS_Cls3,0))</f>
        <v>Conventional Diesel ICE</v>
      </c>
      <c r="O7" s="1218" t="str">
        <f t="shared" si="2"/>
        <v>Adv Conv</v>
      </c>
      <c r="P7" s="1218" t="str">
        <f t="shared" si="2"/>
        <v>ISG</v>
      </c>
      <c r="Q7" s="1218" t="str">
        <f t="shared" si="2"/>
        <v>HEV</v>
      </c>
      <c r="R7" s="1218" t="str">
        <f t="shared" si="2"/>
        <v>PHEV</v>
      </c>
      <c r="S7" s="1219" t="str">
        <f t="shared" si="2"/>
        <v>BEV</v>
      </c>
      <c r="T7" s="771" t="s">
        <v>69</v>
      </c>
      <c r="U7" s="435" t="s">
        <v>140</v>
      </c>
    </row>
    <row r="8" spans="1:24" ht="30.75" thickBot="1" x14ac:dyDescent="0.3">
      <c r="A8" s="423" t="s">
        <v>3</v>
      </c>
      <c r="B8" s="1213" t="str">
        <f t="shared" ref="B8:G8" si="3">INDEX(TECH_OPT_FUEL1_Cls1,MATCH(B6,TECH_OPT_ROWS_Cls1,0))</f>
        <v>Diesel</v>
      </c>
      <c r="C8" s="1214" t="str">
        <f t="shared" si="3"/>
        <v>Diesel</v>
      </c>
      <c r="D8" s="1214" t="str">
        <f t="shared" si="3"/>
        <v>Diesel</v>
      </c>
      <c r="E8" s="1214" t="str">
        <f t="shared" si="3"/>
        <v>Diesel</v>
      </c>
      <c r="F8" s="1214" t="str">
        <f t="shared" si="3"/>
        <v>Diesel</v>
      </c>
      <c r="G8" s="1215" t="str">
        <f t="shared" si="3"/>
        <v>Hydrogen</v>
      </c>
      <c r="H8" s="1213" t="str">
        <f t="shared" ref="H8:M8" si="4">INDEX(TECH_OPT_FUEL1_Cls2,MATCH(H6,TECH_OPT_ROWS_Cls2,0))</f>
        <v>Diesel</v>
      </c>
      <c r="I8" s="1214" t="str">
        <f t="shared" si="4"/>
        <v>Diesel</v>
      </c>
      <c r="J8" s="1214" t="str">
        <f t="shared" si="4"/>
        <v>Diesel</v>
      </c>
      <c r="K8" s="1214" t="str">
        <f t="shared" si="4"/>
        <v>Diesel</v>
      </c>
      <c r="L8" s="1214" t="str">
        <f t="shared" si="4"/>
        <v>Electricity</v>
      </c>
      <c r="M8" s="1215" t="str">
        <f t="shared" si="4"/>
        <v>Hydrogen</v>
      </c>
      <c r="N8" s="1213" t="str">
        <f t="shared" ref="N8:S8" si="5">INDEX(TECH_OPT_FUEL1_Cls3,MATCH(N6,TECH_OPT_ROWS_Cls3,0))</f>
        <v>Diesel</v>
      </c>
      <c r="O8" s="1214" t="str">
        <f t="shared" si="5"/>
        <v>Diesel</v>
      </c>
      <c r="P8" s="1214" t="str">
        <f t="shared" si="5"/>
        <v>Diesel</v>
      </c>
      <c r="Q8" s="1214" t="str">
        <f t="shared" si="5"/>
        <v>Diesel</v>
      </c>
      <c r="R8" s="1214" t="str">
        <f t="shared" si="5"/>
        <v>Diesel</v>
      </c>
      <c r="S8" s="1215" t="str">
        <f t="shared" si="5"/>
        <v>Electricity</v>
      </c>
      <c r="T8" s="437"/>
      <c r="U8" s="436"/>
    </row>
    <row r="9" spans="1:24" ht="15.75" thickTop="1" x14ac:dyDescent="0.25">
      <c r="A9" s="421">
        <v>2007</v>
      </c>
      <c r="B9" s="438">
        <f>'Market Data'!$E$52*'Mkt Pen Veh-Mi'!B9</f>
        <v>0.66842924773992651</v>
      </c>
      <c r="C9" s="439">
        <f>'Market Data'!$E$52*'Mkt Pen Veh-Mi'!C9</f>
        <v>0</v>
      </c>
      <c r="D9" s="439">
        <f>'Market Data'!$E$52*'Mkt Pen Veh-Mi'!D9</f>
        <v>0</v>
      </c>
      <c r="E9" s="799">
        <f>'Market Data'!$E$52*'Mkt Pen Veh-Mi'!E9</f>
        <v>0</v>
      </c>
      <c r="F9" s="799">
        <f>'Market Data'!$E$52*'Mkt Pen Veh-Mi'!F9</f>
        <v>0</v>
      </c>
      <c r="G9" s="804">
        <f>'Market Data'!$E$52*'Mkt Pen Veh-Mi'!G9</f>
        <v>0</v>
      </c>
      <c r="H9" s="438">
        <f>'Market Data'!$O$52*'Mkt Pen Veh-Mi'!H9</f>
        <v>0.24189234497249509</v>
      </c>
      <c r="I9" s="439">
        <f>'Market Data'!$O$52*'Mkt Pen Veh-Mi'!I9</f>
        <v>0</v>
      </c>
      <c r="J9" s="439">
        <f>'Market Data'!$O$52*'Mkt Pen Veh-Mi'!J9</f>
        <v>0</v>
      </c>
      <c r="K9" s="799">
        <f>'Market Data'!$O$52*'Mkt Pen Veh-Mi'!K9</f>
        <v>0</v>
      </c>
      <c r="L9" s="799">
        <f>'Market Data'!$O$52*'Mkt Pen Veh-Mi'!L9</f>
        <v>0</v>
      </c>
      <c r="M9" s="804">
        <f>'Market Data'!$O$52*'Mkt Pen Veh-Mi'!M9</f>
        <v>0</v>
      </c>
      <c r="N9" s="438">
        <f>'Market Data'!$Y$52*'Mkt Pen Veh-Mi'!N9</f>
        <v>8.967840728757831E-2</v>
      </c>
      <c r="O9" s="439">
        <f>'Market Data'!$Y$52*'Mkt Pen Veh-Mi'!O9</f>
        <v>0</v>
      </c>
      <c r="P9" s="439">
        <f>'Market Data'!$Y$52*'Mkt Pen Veh-Mi'!P9</f>
        <v>0</v>
      </c>
      <c r="Q9" s="799">
        <f>'Market Data'!$Y$52*'Mkt Pen Veh-Mi'!Q9</f>
        <v>0</v>
      </c>
      <c r="R9" s="799">
        <f>'Market Data'!$Y$52*'Mkt Pen Veh-Mi'!R9</f>
        <v>0</v>
      </c>
      <c r="S9" s="804">
        <f>'Market Data'!$Y$52*'Mkt Pen Veh-Mi'!S9</f>
        <v>0</v>
      </c>
      <c r="T9" s="438">
        <f>B9+N9+H9</f>
        <v>0.99999999999999989</v>
      </c>
      <c r="U9" s="440">
        <f>SUM(C9:G9)+SUM(O9:S9)</f>
        <v>0</v>
      </c>
      <c r="X9" s="122"/>
    </row>
    <row r="10" spans="1:24" ht="15" x14ac:dyDescent="0.25">
      <c r="A10" s="421">
        <v>2008</v>
      </c>
      <c r="B10" s="441">
        <f>'Market Data'!$E$52*'Mkt Pen Veh-Mi'!B10</f>
        <v>0.66842924773992651</v>
      </c>
      <c r="C10" s="442">
        <f>'Market Data'!$E$52*'Mkt Pen Veh-Mi'!C10</f>
        <v>0</v>
      </c>
      <c r="D10" s="442">
        <f>'Market Data'!$E$52*'Mkt Pen Veh-Mi'!D10</f>
        <v>0</v>
      </c>
      <c r="E10" s="800">
        <f>'Market Data'!$E$52*'Mkt Pen Veh-Mi'!E10</f>
        <v>0</v>
      </c>
      <c r="F10" s="800">
        <f>'Market Data'!$E$52*'Mkt Pen Veh-Mi'!F10</f>
        <v>0</v>
      </c>
      <c r="G10" s="805">
        <f>'Market Data'!$E$52*'Mkt Pen Veh-Mi'!G10</f>
        <v>0</v>
      </c>
      <c r="H10" s="441">
        <f>'Market Data'!$O$52*'Mkt Pen Veh-Mi'!H10</f>
        <v>0.24189234497249509</v>
      </c>
      <c r="I10" s="442">
        <f>'Market Data'!$O$52*'Mkt Pen Veh-Mi'!I10</f>
        <v>0</v>
      </c>
      <c r="J10" s="442">
        <f>'Market Data'!$O$52*'Mkt Pen Veh-Mi'!J10</f>
        <v>0</v>
      </c>
      <c r="K10" s="800">
        <f>'Market Data'!$O$52*'Mkt Pen Veh-Mi'!K10</f>
        <v>0</v>
      </c>
      <c r="L10" s="800">
        <f>'Market Data'!$O$52*'Mkt Pen Veh-Mi'!L10</f>
        <v>0</v>
      </c>
      <c r="M10" s="805">
        <f>'Market Data'!$O$52*'Mkt Pen Veh-Mi'!M10</f>
        <v>0</v>
      </c>
      <c r="N10" s="441">
        <f>'Market Data'!$Y$52*'Mkt Pen Veh-Mi'!N10</f>
        <v>8.967840728757831E-2</v>
      </c>
      <c r="O10" s="442">
        <f>'Market Data'!$Y$52*'Mkt Pen Veh-Mi'!O10</f>
        <v>0</v>
      </c>
      <c r="P10" s="442">
        <f>'Market Data'!$Y$52*'Mkt Pen Veh-Mi'!P10</f>
        <v>0</v>
      </c>
      <c r="Q10" s="800">
        <f>'Market Data'!$Y$52*'Mkt Pen Veh-Mi'!Q10</f>
        <v>0</v>
      </c>
      <c r="R10" s="800">
        <f>'Market Data'!$Y$52*'Mkt Pen Veh-Mi'!R10</f>
        <v>0</v>
      </c>
      <c r="S10" s="805">
        <f>'Market Data'!$Y$52*'Mkt Pen Veh-Mi'!S10</f>
        <v>0</v>
      </c>
      <c r="T10" s="441">
        <f t="shared" ref="T10:T52" si="6">B10+N10+H10</f>
        <v>0.99999999999999989</v>
      </c>
      <c r="U10" s="443">
        <f t="shared" ref="U10:U17" si="7">SUM(C10:G10)+SUM(O10:S10)</f>
        <v>0</v>
      </c>
      <c r="X10" s="122"/>
    </row>
    <row r="11" spans="1:24" ht="15" x14ac:dyDescent="0.25">
      <c r="A11" s="421">
        <v>2009</v>
      </c>
      <c r="B11" s="441">
        <f>'Market Data'!$E$52*'Mkt Pen Veh-Mi'!B11</f>
        <v>0.66842924773992651</v>
      </c>
      <c r="C11" s="442">
        <f>'Market Data'!$E$52*'Mkt Pen Veh-Mi'!C11</f>
        <v>0</v>
      </c>
      <c r="D11" s="442">
        <f>'Market Data'!$E$52*'Mkt Pen Veh-Mi'!D11</f>
        <v>0</v>
      </c>
      <c r="E11" s="800">
        <f>'Market Data'!$E$52*'Mkt Pen Veh-Mi'!E11</f>
        <v>0</v>
      </c>
      <c r="F11" s="800">
        <f>'Market Data'!$E$52*'Mkt Pen Veh-Mi'!F11</f>
        <v>0</v>
      </c>
      <c r="G11" s="805">
        <f>'Market Data'!$E$52*'Mkt Pen Veh-Mi'!G11</f>
        <v>0</v>
      </c>
      <c r="H11" s="441">
        <f>'Market Data'!$O$52*'Mkt Pen Veh-Mi'!H11</f>
        <v>0.24189234497249509</v>
      </c>
      <c r="I11" s="442">
        <f>'Market Data'!$O$52*'Mkt Pen Veh-Mi'!I11</f>
        <v>0</v>
      </c>
      <c r="J11" s="442">
        <f>'Market Data'!$O$52*'Mkt Pen Veh-Mi'!J11</f>
        <v>0</v>
      </c>
      <c r="K11" s="800">
        <f>'Market Data'!$O$52*'Mkt Pen Veh-Mi'!K11</f>
        <v>0</v>
      </c>
      <c r="L11" s="800">
        <f>'Market Data'!$O$52*'Mkt Pen Veh-Mi'!L11</f>
        <v>0</v>
      </c>
      <c r="M11" s="805">
        <f>'Market Data'!$O$52*'Mkt Pen Veh-Mi'!M11</f>
        <v>0</v>
      </c>
      <c r="N11" s="441">
        <f>'Market Data'!$Y$52*'Mkt Pen Veh-Mi'!N11</f>
        <v>8.967840728757831E-2</v>
      </c>
      <c r="O11" s="442">
        <f>'Market Data'!$Y$52*'Mkt Pen Veh-Mi'!O11</f>
        <v>0</v>
      </c>
      <c r="P11" s="442">
        <f>'Market Data'!$Y$52*'Mkt Pen Veh-Mi'!P11</f>
        <v>0</v>
      </c>
      <c r="Q11" s="800">
        <f>'Market Data'!$Y$52*'Mkt Pen Veh-Mi'!Q11</f>
        <v>0</v>
      </c>
      <c r="R11" s="800">
        <f>'Market Data'!$Y$52*'Mkt Pen Veh-Mi'!R11</f>
        <v>0</v>
      </c>
      <c r="S11" s="805">
        <f>'Market Data'!$Y$52*'Mkt Pen Veh-Mi'!S11</f>
        <v>0</v>
      </c>
      <c r="T11" s="441">
        <f t="shared" si="6"/>
        <v>0.99999999999999989</v>
      </c>
      <c r="U11" s="443">
        <f t="shared" si="7"/>
        <v>0</v>
      </c>
      <c r="X11" s="122"/>
    </row>
    <row r="12" spans="1:24" ht="15" x14ac:dyDescent="0.25">
      <c r="A12" s="421">
        <v>2010</v>
      </c>
      <c r="B12" s="444">
        <f>'Market Data'!$E$52*'Mkt Pen Veh-Mi'!B12</f>
        <v>0.66842924773992651</v>
      </c>
      <c r="C12" s="445">
        <f>'Market Data'!$E$52*'Mkt Pen Veh-Mi'!C12</f>
        <v>0</v>
      </c>
      <c r="D12" s="445">
        <f>'Market Data'!$E$52*'Mkt Pen Veh-Mi'!D12</f>
        <v>0</v>
      </c>
      <c r="E12" s="801">
        <f>'Market Data'!$E$52*'Mkt Pen Veh-Mi'!E12</f>
        <v>0</v>
      </c>
      <c r="F12" s="801">
        <f>'Market Data'!$E$52*'Mkt Pen Veh-Mi'!F12</f>
        <v>0</v>
      </c>
      <c r="G12" s="806">
        <f>'Market Data'!$E$52*'Mkt Pen Veh-Mi'!G12</f>
        <v>0</v>
      </c>
      <c r="H12" s="444">
        <f>'Market Data'!$O$52*'Mkt Pen Veh-Mi'!H12</f>
        <v>0.24189234497249509</v>
      </c>
      <c r="I12" s="445">
        <f>'Market Data'!$O$52*'Mkt Pen Veh-Mi'!I12</f>
        <v>0</v>
      </c>
      <c r="J12" s="445">
        <f>'Market Data'!$O$52*'Mkt Pen Veh-Mi'!J12</f>
        <v>0</v>
      </c>
      <c r="K12" s="801">
        <f>'Market Data'!$O$52*'Mkt Pen Veh-Mi'!K12</f>
        <v>0</v>
      </c>
      <c r="L12" s="801">
        <f>'Market Data'!$O$52*'Mkt Pen Veh-Mi'!L12</f>
        <v>0</v>
      </c>
      <c r="M12" s="806">
        <f>'Market Data'!$O$52*'Mkt Pen Veh-Mi'!M12</f>
        <v>0</v>
      </c>
      <c r="N12" s="444">
        <f>'Market Data'!$Y$52*'Mkt Pen Veh-Mi'!N12</f>
        <v>8.967840728757831E-2</v>
      </c>
      <c r="O12" s="445">
        <f>'Market Data'!$Y$52*'Mkt Pen Veh-Mi'!O12</f>
        <v>0</v>
      </c>
      <c r="P12" s="445">
        <f>'Market Data'!$Y$52*'Mkt Pen Veh-Mi'!P12</f>
        <v>0</v>
      </c>
      <c r="Q12" s="801">
        <f>'Market Data'!$Y$52*'Mkt Pen Veh-Mi'!Q12</f>
        <v>0</v>
      </c>
      <c r="R12" s="801">
        <f>'Market Data'!$Y$52*'Mkt Pen Veh-Mi'!R12</f>
        <v>0</v>
      </c>
      <c r="S12" s="806">
        <f>'Market Data'!$Y$52*'Mkt Pen Veh-Mi'!S12</f>
        <v>0</v>
      </c>
      <c r="T12" s="444">
        <f t="shared" si="6"/>
        <v>0.99999999999999989</v>
      </c>
      <c r="U12" s="446">
        <f t="shared" si="7"/>
        <v>0</v>
      </c>
      <c r="X12" s="122"/>
    </row>
    <row r="13" spans="1:24" ht="15" x14ac:dyDescent="0.25">
      <c r="A13" s="447">
        <v>2011</v>
      </c>
      <c r="B13" s="448">
        <f>'Market Data'!$E$52*'Mkt Pen Veh-Mi'!B13</f>
        <v>0.66842924773992651</v>
      </c>
      <c r="C13" s="449">
        <f>'Market Data'!$E$52*'Mkt Pen Veh-Mi'!C13</f>
        <v>0</v>
      </c>
      <c r="D13" s="449">
        <f>'Market Data'!$E$52*'Mkt Pen Veh-Mi'!D13</f>
        <v>0</v>
      </c>
      <c r="E13" s="802">
        <f>'Market Data'!$E$52*'Mkt Pen Veh-Mi'!E13</f>
        <v>0</v>
      </c>
      <c r="F13" s="802">
        <f>'Market Data'!$E$52*'Mkt Pen Veh-Mi'!F13</f>
        <v>0</v>
      </c>
      <c r="G13" s="807">
        <f>'Market Data'!$E$52*'Mkt Pen Veh-Mi'!G13</f>
        <v>0</v>
      </c>
      <c r="H13" s="448">
        <f>'Market Data'!$O$52*'Mkt Pen Veh-Mi'!H13</f>
        <v>0.24189234497249509</v>
      </c>
      <c r="I13" s="449">
        <f>'Market Data'!$O$52*'Mkt Pen Veh-Mi'!I13</f>
        <v>0</v>
      </c>
      <c r="J13" s="449">
        <f>'Market Data'!$O$52*'Mkt Pen Veh-Mi'!J13</f>
        <v>0</v>
      </c>
      <c r="K13" s="802">
        <f>'Market Data'!$O$52*'Mkt Pen Veh-Mi'!K13</f>
        <v>0</v>
      </c>
      <c r="L13" s="802">
        <f>'Market Data'!$O$52*'Mkt Pen Veh-Mi'!L13</f>
        <v>0</v>
      </c>
      <c r="M13" s="807">
        <f>'Market Data'!$O$52*'Mkt Pen Veh-Mi'!M13</f>
        <v>0</v>
      </c>
      <c r="N13" s="448">
        <f>'Market Data'!$Y$52*'Mkt Pen Veh-Mi'!N13</f>
        <v>8.967840728757831E-2</v>
      </c>
      <c r="O13" s="449">
        <f>'Market Data'!$Y$52*'Mkt Pen Veh-Mi'!O13</f>
        <v>0</v>
      </c>
      <c r="P13" s="449">
        <f>'Market Data'!$Y$52*'Mkt Pen Veh-Mi'!P13</f>
        <v>0</v>
      </c>
      <c r="Q13" s="802">
        <f>'Market Data'!$Y$52*'Mkt Pen Veh-Mi'!Q13</f>
        <v>0</v>
      </c>
      <c r="R13" s="802">
        <f>'Market Data'!$Y$52*'Mkt Pen Veh-Mi'!R13</f>
        <v>0</v>
      </c>
      <c r="S13" s="807">
        <f>'Market Data'!$Y$52*'Mkt Pen Veh-Mi'!S13</f>
        <v>0</v>
      </c>
      <c r="T13" s="451">
        <f t="shared" si="6"/>
        <v>0.99999999999999989</v>
      </c>
      <c r="U13" s="452">
        <f t="shared" si="7"/>
        <v>0</v>
      </c>
      <c r="X13" s="122"/>
    </row>
    <row r="14" spans="1:24" ht="15" x14ac:dyDescent="0.25">
      <c r="A14" s="421">
        <v>2012</v>
      </c>
      <c r="B14" s="441">
        <f>'Market Data'!$E$52*'Mkt Pen Veh-Mi'!B14</f>
        <v>0.66842924773992651</v>
      </c>
      <c r="C14" s="442">
        <f>'Market Data'!$E$52*'Mkt Pen Veh-Mi'!C14</f>
        <v>0</v>
      </c>
      <c r="D14" s="442">
        <f>'Market Data'!$E$52*'Mkt Pen Veh-Mi'!D14</f>
        <v>0</v>
      </c>
      <c r="E14" s="800">
        <f>'Market Data'!$E$52*'Mkt Pen Veh-Mi'!E14</f>
        <v>0</v>
      </c>
      <c r="F14" s="800">
        <f>'Market Data'!$E$52*'Mkt Pen Veh-Mi'!F14</f>
        <v>0</v>
      </c>
      <c r="G14" s="805">
        <f>'Market Data'!$E$52*'Mkt Pen Veh-Mi'!G14</f>
        <v>0</v>
      </c>
      <c r="H14" s="441">
        <f>'Market Data'!$O$52*'Mkt Pen Veh-Mi'!H14</f>
        <v>0.24189234497249509</v>
      </c>
      <c r="I14" s="442">
        <f>'Market Data'!$O$52*'Mkt Pen Veh-Mi'!I14</f>
        <v>0</v>
      </c>
      <c r="J14" s="442">
        <f>'Market Data'!$O$52*'Mkt Pen Veh-Mi'!J14</f>
        <v>0</v>
      </c>
      <c r="K14" s="800">
        <f>'Market Data'!$O$52*'Mkt Pen Veh-Mi'!K14</f>
        <v>0</v>
      </c>
      <c r="L14" s="800">
        <f>'Market Data'!$O$52*'Mkt Pen Veh-Mi'!L14</f>
        <v>0</v>
      </c>
      <c r="M14" s="805">
        <f>'Market Data'!$O$52*'Mkt Pen Veh-Mi'!M14</f>
        <v>0</v>
      </c>
      <c r="N14" s="441">
        <f>'Market Data'!$Y$52*'Mkt Pen Veh-Mi'!N14</f>
        <v>8.967840728757831E-2</v>
      </c>
      <c r="O14" s="442">
        <f>'Market Data'!$Y$52*'Mkt Pen Veh-Mi'!O14</f>
        <v>0</v>
      </c>
      <c r="P14" s="442">
        <f>'Market Data'!$Y$52*'Mkt Pen Veh-Mi'!P14</f>
        <v>0</v>
      </c>
      <c r="Q14" s="800">
        <f>'Market Data'!$Y$52*'Mkt Pen Veh-Mi'!Q14</f>
        <v>0</v>
      </c>
      <c r="R14" s="800">
        <f>'Market Data'!$Y$52*'Mkt Pen Veh-Mi'!R14</f>
        <v>0</v>
      </c>
      <c r="S14" s="805">
        <f>'Market Data'!$Y$52*'Mkt Pen Veh-Mi'!S14</f>
        <v>0</v>
      </c>
      <c r="T14" s="441">
        <f t="shared" si="6"/>
        <v>0.99999999999999989</v>
      </c>
      <c r="U14" s="443">
        <f t="shared" si="7"/>
        <v>0</v>
      </c>
      <c r="X14" s="122"/>
    </row>
    <row r="15" spans="1:24" ht="15" x14ac:dyDescent="0.25">
      <c r="A15" s="421">
        <v>2013</v>
      </c>
      <c r="B15" s="441">
        <f>'Market Data'!$E$52*'Mkt Pen Veh-Mi'!B15</f>
        <v>0.66842924773992651</v>
      </c>
      <c r="C15" s="442">
        <f>'Market Data'!$E$52*'Mkt Pen Veh-Mi'!C15</f>
        <v>0</v>
      </c>
      <c r="D15" s="442">
        <f>'Market Data'!$E$52*'Mkt Pen Veh-Mi'!D15</f>
        <v>0</v>
      </c>
      <c r="E15" s="800">
        <f>'Market Data'!$E$52*'Mkt Pen Veh-Mi'!E15</f>
        <v>0</v>
      </c>
      <c r="F15" s="800">
        <f>'Market Data'!$E$52*'Mkt Pen Veh-Mi'!F15</f>
        <v>0</v>
      </c>
      <c r="G15" s="805">
        <f>'Market Data'!$E$52*'Mkt Pen Veh-Mi'!G15</f>
        <v>0</v>
      </c>
      <c r="H15" s="441">
        <f>'Market Data'!$O$52*'Mkt Pen Veh-Mi'!H15</f>
        <v>0.24189234497249509</v>
      </c>
      <c r="I15" s="442">
        <f>'Market Data'!$O$52*'Mkt Pen Veh-Mi'!I15</f>
        <v>0</v>
      </c>
      <c r="J15" s="442">
        <f>'Market Data'!$O$52*'Mkt Pen Veh-Mi'!J15</f>
        <v>0</v>
      </c>
      <c r="K15" s="800">
        <f>'Market Data'!$O$52*'Mkt Pen Veh-Mi'!K15</f>
        <v>0</v>
      </c>
      <c r="L15" s="800">
        <f>'Market Data'!$O$52*'Mkt Pen Veh-Mi'!L15</f>
        <v>0</v>
      </c>
      <c r="M15" s="805">
        <f>'Market Data'!$O$52*'Mkt Pen Veh-Mi'!M15</f>
        <v>0</v>
      </c>
      <c r="N15" s="441">
        <f>'Market Data'!$Y$52*'Mkt Pen Veh-Mi'!N15</f>
        <v>8.967840728757831E-2</v>
      </c>
      <c r="O15" s="442">
        <f>'Market Data'!$Y$52*'Mkt Pen Veh-Mi'!O15</f>
        <v>0</v>
      </c>
      <c r="P15" s="442">
        <f>'Market Data'!$Y$52*'Mkt Pen Veh-Mi'!P15</f>
        <v>0</v>
      </c>
      <c r="Q15" s="800">
        <f>'Market Data'!$Y$52*'Mkt Pen Veh-Mi'!Q15</f>
        <v>0</v>
      </c>
      <c r="R15" s="800">
        <f>'Market Data'!$Y$52*'Mkt Pen Veh-Mi'!R15</f>
        <v>0</v>
      </c>
      <c r="S15" s="805">
        <f>'Market Data'!$Y$52*'Mkt Pen Veh-Mi'!S15</f>
        <v>0</v>
      </c>
      <c r="T15" s="441">
        <f t="shared" si="6"/>
        <v>0.99999999999999989</v>
      </c>
      <c r="U15" s="443">
        <f t="shared" si="7"/>
        <v>0</v>
      </c>
      <c r="X15" s="122"/>
    </row>
    <row r="16" spans="1:24" ht="15" x14ac:dyDescent="0.25">
      <c r="A16" s="421">
        <v>2014</v>
      </c>
      <c r="B16" s="441">
        <f>'Market Data'!$E$52*'Mkt Pen Veh-Mi'!B16</f>
        <v>0.66842924773992651</v>
      </c>
      <c r="C16" s="442">
        <f>'Market Data'!$E$52*'Mkt Pen Veh-Mi'!C16</f>
        <v>0</v>
      </c>
      <c r="D16" s="442">
        <f>'Market Data'!$E$52*'Mkt Pen Veh-Mi'!D16</f>
        <v>0</v>
      </c>
      <c r="E16" s="800">
        <f>'Market Data'!$E$52*'Mkt Pen Veh-Mi'!E16</f>
        <v>0</v>
      </c>
      <c r="F16" s="800">
        <f>'Market Data'!$E$52*'Mkt Pen Veh-Mi'!F16</f>
        <v>0</v>
      </c>
      <c r="G16" s="805">
        <f>'Market Data'!$E$52*'Mkt Pen Veh-Mi'!G16</f>
        <v>0</v>
      </c>
      <c r="H16" s="441">
        <f>'Market Data'!$O$52*'Mkt Pen Veh-Mi'!H16</f>
        <v>0.24189234497249509</v>
      </c>
      <c r="I16" s="442">
        <f>'Market Data'!$O$52*'Mkt Pen Veh-Mi'!I16</f>
        <v>0</v>
      </c>
      <c r="J16" s="442">
        <f>'Market Data'!$O$52*'Mkt Pen Veh-Mi'!J16</f>
        <v>0</v>
      </c>
      <c r="K16" s="800">
        <f>'Market Data'!$O$52*'Mkt Pen Veh-Mi'!K16</f>
        <v>0</v>
      </c>
      <c r="L16" s="800">
        <f>'Market Data'!$O$52*'Mkt Pen Veh-Mi'!L16</f>
        <v>0</v>
      </c>
      <c r="M16" s="805">
        <f>'Market Data'!$O$52*'Mkt Pen Veh-Mi'!M16</f>
        <v>0</v>
      </c>
      <c r="N16" s="441">
        <f>'Market Data'!$Y$52*'Mkt Pen Veh-Mi'!N16</f>
        <v>8.967840728757831E-2</v>
      </c>
      <c r="O16" s="442">
        <f>'Market Data'!$Y$52*'Mkt Pen Veh-Mi'!O16</f>
        <v>0</v>
      </c>
      <c r="P16" s="442">
        <f>'Market Data'!$Y$52*'Mkt Pen Veh-Mi'!P16</f>
        <v>0</v>
      </c>
      <c r="Q16" s="800">
        <f>'Market Data'!$Y$52*'Mkt Pen Veh-Mi'!Q16</f>
        <v>0</v>
      </c>
      <c r="R16" s="800">
        <f>'Market Data'!$Y$52*'Mkt Pen Veh-Mi'!R16</f>
        <v>0</v>
      </c>
      <c r="S16" s="805">
        <f>'Market Data'!$Y$52*'Mkt Pen Veh-Mi'!S16</f>
        <v>0</v>
      </c>
      <c r="T16" s="441">
        <f t="shared" si="6"/>
        <v>0.99999999999999989</v>
      </c>
      <c r="U16" s="443">
        <f t="shared" si="7"/>
        <v>0</v>
      </c>
      <c r="X16" s="122"/>
    </row>
    <row r="17" spans="1:24" ht="15" x14ac:dyDescent="0.25">
      <c r="A17" s="420">
        <v>2015</v>
      </c>
      <c r="B17" s="444">
        <f>'Market Data'!$E$52*'Mkt Pen Veh-Mi'!B17</f>
        <v>0.66842924773992651</v>
      </c>
      <c r="C17" s="445">
        <f>'Market Data'!$E$52*'Mkt Pen Veh-Mi'!C17</f>
        <v>0</v>
      </c>
      <c r="D17" s="445">
        <f>'Market Data'!$E$52*'Mkt Pen Veh-Mi'!D17</f>
        <v>0</v>
      </c>
      <c r="E17" s="801">
        <f>'Market Data'!$E$52*'Mkt Pen Veh-Mi'!E17</f>
        <v>0</v>
      </c>
      <c r="F17" s="801">
        <f>'Market Data'!$E$52*'Mkt Pen Veh-Mi'!F17</f>
        <v>0</v>
      </c>
      <c r="G17" s="806">
        <f>'Market Data'!$E$52*'Mkt Pen Veh-Mi'!G17</f>
        <v>0</v>
      </c>
      <c r="H17" s="444">
        <f>'Market Data'!$O$52*'Mkt Pen Veh-Mi'!H17</f>
        <v>0.24189234497249509</v>
      </c>
      <c r="I17" s="445">
        <f>'Market Data'!$O$52*'Mkt Pen Veh-Mi'!I17</f>
        <v>0</v>
      </c>
      <c r="J17" s="445">
        <f>'Market Data'!$O$52*'Mkt Pen Veh-Mi'!J17</f>
        <v>0</v>
      </c>
      <c r="K17" s="801">
        <f>'Market Data'!$O$52*'Mkt Pen Veh-Mi'!K17</f>
        <v>0</v>
      </c>
      <c r="L17" s="801">
        <f>'Market Data'!$O$52*'Mkt Pen Veh-Mi'!L17</f>
        <v>0</v>
      </c>
      <c r="M17" s="806">
        <f>'Market Data'!$O$52*'Mkt Pen Veh-Mi'!M17</f>
        <v>0</v>
      </c>
      <c r="N17" s="444">
        <f>'Market Data'!$Y$52*'Mkt Pen Veh-Mi'!N17</f>
        <v>8.967840728757831E-2</v>
      </c>
      <c r="O17" s="445">
        <f>'Market Data'!$Y$52*'Mkt Pen Veh-Mi'!O17</f>
        <v>0</v>
      </c>
      <c r="P17" s="445">
        <f>'Market Data'!$Y$52*'Mkt Pen Veh-Mi'!P17</f>
        <v>0</v>
      </c>
      <c r="Q17" s="801">
        <f>'Market Data'!$Y$52*'Mkt Pen Veh-Mi'!Q17</f>
        <v>0</v>
      </c>
      <c r="R17" s="801">
        <f>'Market Data'!$Y$52*'Mkt Pen Veh-Mi'!R17</f>
        <v>0</v>
      </c>
      <c r="S17" s="806">
        <f>'Market Data'!$Y$52*'Mkt Pen Veh-Mi'!S17</f>
        <v>0</v>
      </c>
      <c r="T17" s="444">
        <f t="shared" si="6"/>
        <v>0.99999999999999989</v>
      </c>
      <c r="U17" s="446">
        <f t="shared" si="7"/>
        <v>0</v>
      </c>
      <c r="X17" s="122"/>
    </row>
    <row r="18" spans="1:24" ht="15" x14ac:dyDescent="0.25">
      <c r="A18" s="447">
        <v>2016</v>
      </c>
      <c r="B18" s="448">
        <f>'Market Data'!$E$52*'Mkt Pen Veh-Mi'!B18</f>
        <v>0.66842924773992651</v>
      </c>
      <c r="C18" s="449">
        <f>'Market Data'!$E$52*'Mkt Pen Veh-Mi'!C18</f>
        <v>0</v>
      </c>
      <c r="D18" s="449">
        <f>'Market Data'!$E$52*'Mkt Pen Veh-Mi'!D18</f>
        <v>0</v>
      </c>
      <c r="E18" s="802">
        <f>'Market Data'!$E$52*'Mkt Pen Veh-Mi'!E18</f>
        <v>0</v>
      </c>
      <c r="F18" s="802">
        <f>'Market Data'!$E$52*'Mkt Pen Veh-Mi'!F18</f>
        <v>0</v>
      </c>
      <c r="G18" s="807">
        <f>'Market Data'!$E$52*'Mkt Pen Veh-Mi'!G18</f>
        <v>0</v>
      </c>
      <c r="H18" s="448">
        <f>'Market Data'!$O$52*'Mkt Pen Veh-Mi'!H18</f>
        <v>0.24189234497249509</v>
      </c>
      <c r="I18" s="449">
        <f>'Market Data'!$O$52*'Mkt Pen Veh-Mi'!I18</f>
        <v>0</v>
      </c>
      <c r="J18" s="449">
        <f>'Market Data'!$O$52*'Mkt Pen Veh-Mi'!J18</f>
        <v>0</v>
      </c>
      <c r="K18" s="802">
        <f>'Market Data'!$O$52*'Mkt Pen Veh-Mi'!K18</f>
        <v>0</v>
      </c>
      <c r="L18" s="802">
        <f>'Market Data'!$O$52*'Mkt Pen Veh-Mi'!L18</f>
        <v>0</v>
      </c>
      <c r="M18" s="807">
        <f>'Market Data'!$O$52*'Mkt Pen Veh-Mi'!M18</f>
        <v>0</v>
      </c>
      <c r="N18" s="448">
        <f>'Market Data'!$Y$52*'Mkt Pen Veh-Mi'!N18</f>
        <v>8.967840728757831E-2</v>
      </c>
      <c r="O18" s="449">
        <f>'Market Data'!$Y$52*'Mkt Pen Veh-Mi'!O18</f>
        <v>0</v>
      </c>
      <c r="P18" s="449">
        <f>'Market Data'!$Y$52*'Mkt Pen Veh-Mi'!P18</f>
        <v>0</v>
      </c>
      <c r="Q18" s="802">
        <f>'Market Data'!$Y$52*'Mkt Pen Veh-Mi'!Q18</f>
        <v>0</v>
      </c>
      <c r="R18" s="802">
        <f>'Market Data'!$Y$52*'Mkt Pen Veh-Mi'!R18</f>
        <v>0</v>
      </c>
      <c r="S18" s="807">
        <f>'Market Data'!$Y$52*'Mkt Pen Veh-Mi'!S18</f>
        <v>0</v>
      </c>
      <c r="T18" s="451">
        <f t="shared" si="6"/>
        <v>0.99999999999999989</v>
      </c>
      <c r="U18" s="452">
        <f>SUM(C18:G18)+SUM(I18:M18)+SUM(O18:S18)</f>
        <v>0</v>
      </c>
      <c r="X18" s="122"/>
    </row>
    <row r="19" spans="1:24" ht="15" x14ac:dyDescent="0.25">
      <c r="A19" s="421">
        <v>2017</v>
      </c>
      <c r="B19" s="441">
        <f>'Market Data'!$E$52*'Mkt Pen Veh-Mi'!B19</f>
        <v>0.66842924773992651</v>
      </c>
      <c r="C19" s="442">
        <f>'Market Data'!$E$52*'Mkt Pen Veh-Mi'!C19</f>
        <v>0</v>
      </c>
      <c r="D19" s="442">
        <f>'Market Data'!$E$52*'Mkt Pen Veh-Mi'!D19</f>
        <v>0</v>
      </c>
      <c r="E19" s="800">
        <f>'Market Data'!$E$52*'Mkt Pen Veh-Mi'!E19</f>
        <v>0</v>
      </c>
      <c r="F19" s="800">
        <f>'Market Data'!$E$52*'Mkt Pen Veh-Mi'!F19</f>
        <v>0</v>
      </c>
      <c r="G19" s="805">
        <f>'Market Data'!$E$52*'Mkt Pen Veh-Mi'!G19</f>
        <v>0</v>
      </c>
      <c r="H19" s="441">
        <f>'Market Data'!$O$52*'Mkt Pen Veh-Mi'!H19</f>
        <v>0.24189234497249509</v>
      </c>
      <c r="I19" s="442">
        <f>'Market Data'!$O$52*'Mkt Pen Veh-Mi'!I19</f>
        <v>0</v>
      </c>
      <c r="J19" s="442">
        <f>'Market Data'!$O$52*'Mkt Pen Veh-Mi'!J19</f>
        <v>0</v>
      </c>
      <c r="K19" s="800">
        <f>'Market Data'!$O$52*'Mkt Pen Veh-Mi'!K19</f>
        <v>0</v>
      </c>
      <c r="L19" s="800">
        <f>'Market Data'!$O$52*'Mkt Pen Veh-Mi'!L19</f>
        <v>0</v>
      </c>
      <c r="M19" s="805">
        <f>'Market Data'!$O$52*'Mkt Pen Veh-Mi'!M19</f>
        <v>0</v>
      </c>
      <c r="N19" s="441">
        <f>'Market Data'!$Y$52*'Mkt Pen Veh-Mi'!N19</f>
        <v>8.967840728757831E-2</v>
      </c>
      <c r="O19" s="442">
        <f>'Market Data'!$Y$52*'Mkt Pen Veh-Mi'!O19</f>
        <v>0</v>
      </c>
      <c r="P19" s="442">
        <f>'Market Data'!$Y$52*'Mkt Pen Veh-Mi'!P19</f>
        <v>0</v>
      </c>
      <c r="Q19" s="800">
        <f>'Market Data'!$Y$52*'Mkt Pen Veh-Mi'!Q19</f>
        <v>0</v>
      </c>
      <c r="R19" s="800">
        <f>'Market Data'!$Y$52*'Mkt Pen Veh-Mi'!R19</f>
        <v>0</v>
      </c>
      <c r="S19" s="805">
        <f>'Market Data'!$Y$52*'Mkt Pen Veh-Mi'!S19</f>
        <v>0</v>
      </c>
      <c r="T19" s="441">
        <f t="shared" si="6"/>
        <v>0.99999999999999989</v>
      </c>
      <c r="U19" s="443">
        <f t="shared" ref="U19:U52" si="8">SUM(C19:G19)+SUM(I19:M19)+SUM(O19:S19)</f>
        <v>0</v>
      </c>
      <c r="X19" s="122"/>
    </row>
    <row r="20" spans="1:24" ht="15" x14ac:dyDescent="0.25">
      <c r="A20" s="421">
        <v>2018</v>
      </c>
      <c r="B20" s="441">
        <f>'Market Data'!$E$52*'Mkt Pen Veh-Mi'!B20</f>
        <v>0.66842924773992651</v>
      </c>
      <c r="C20" s="442">
        <f>'Market Data'!$E$52*'Mkt Pen Veh-Mi'!C20</f>
        <v>0</v>
      </c>
      <c r="D20" s="442">
        <f>'Market Data'!$E$52*'Mkt Pen Veh-Mi'!D20</f>
        <v>0</v>
      </c>
      <c r="E20" s="800">
        <f>'Market Data'!$E$52*'Mkt Pen Veh-Mi'!E20</f>
        <v>0</v>
      </c>
      <c r="F20" s="800">
        <f>'Market Data'!$E$52*'Mkt Pen Veh-Mi'!F20</f>
        <v>0</v>
      </c>
      <c r="G20" s="805">
        <f>'Market Data'!$E$52*'Mkt Pen Veh-Mi'!G20</f>
        <v>0</v>
      </c>
      <c r="H20" s="441">
        <f>'Market Data'!$O$52*'Mkt Pen Veh-Mi'!H20</f>
        <v>0.24189234497249509</v>
      </c>
      <c r="I20" s="442">
        <f>'Market Data'!$O$52*'Mkt Pen Veh-Mi'!I20</f>
        <v>0</v>
      </c>
      <c r="J20" s="442">
        <f>'Market Data'!$O$52*'Mkt Pen Veh-Mi'!J20</f>
        <v>0</v>
      </c>
      <c r="K20" s="800">
        <f>'Market Data'!$O$52*'Mkt Pen Veh-Mi'!K20</f>
        <v>0</v>
      </c>
      <c r="L20" s="800">
        <f>'Market Data'!$O$52*'Mkt Pen Veh-Mi'!L20</f>
        <v>0</v>
      </c>
      <c r="M20" s="805">
        <f>'Market Data'!$O$52*'Mkt Pen Veh-Mi'!M20</f>
        <v>0</v>
      </c>
      <c r="N20" s="441">
        <f>'Market Data'!$Y$52*'Mkt Pen Veh-Mi'!N20</f>
        <v>8.967840728757831E-2</v>
      </c>
      <c r="O20" s="442">
        <f>'Market Data'!$Y$52*'Mkt Pen Veh-Mi'!O20</f>
        <v>0</v>
      </c>
      <c r="P20" s="442">
        <f>'Market Data'!$Y$52*'Mkt Pen Veh-Mi'!P20</f>
        <v>0</v>
      </c>
      <c r="Q20" s="800">
        <f>'Market Data'!$Y$52*'Mkt Pen Veh-Mi'!Q20</f>
        <v>0</v>
      </c>
      <c r="R20" s="800">
        <f>'Market Data'!$Y$52*'Mkt Pen Veh-Mi'!R20</f>
        <v>0</v>
      </c>
      <c r="S20" s="805">
        <f>'Market Data'!$Y$52*'Mkt Pen Veh-Mi'!S20</f>
        <v>0</v>
      </c>
      <c r="T20" s="441">
        <f t="shared" si="6"/>
        <v>0.99999999999999989</v>
      </c>
      <c r="U20" s="443">
        <f t="shared" si="8"/>
        <v>0</v>
      </c>
      <c r="X20" s="122"/>
    </row>
    <row r="21" spans="1:24" ht="15" x14ac:dyDescent="0.25">
      <c r="A21" s="421">
        <v>2019</v>
      </c>
      <c r="B21" s="441">
        <f>'Market Data'!$E$52*'Mkt Pen Veh-Mi'!B21</f>
        <v>0.66842924773992651</v>
      </c>
      <c r="C21" s="442">
        <f>'Market Data'!$E$52*'Mkt Pen Veh-Mi'!C21</f>
        <v>0</v>
      </c>
      <c r="D21" s="442">
        <f>'Market Data'!$E$52*'Mkt Pen Veh-Mi'!D21</f>
        <v>0</v>
      </c>
      <c r="E21" s="800">
        <f>'Market Data'!$E$52*'Mkt Pen Veh-Mi'!E21</f>
        <v>0</v>
      </c>
      <c r="F21" s="800">
        <f>'Market Data'!$E$52*'Mkt Pen Veh-Mi'!F21</f>
        <v>0</v>
      </c>
      <c r="G21" s="805">
        <f>'Market Data'!$E$52*'Mkt Pen Veh-Mi'!G21</f>
        <v>0</v>
      </c>
      <c r="H21" s="441">
        <f>'Market Data'!$O$52*'Mkt Pen Veh-Mi'!H21</f>
        <v>0.24189234497249509</v>
      </c>
      <c r="I21" s="442">
        <f>'Market Data'!$O$52*'Mkt Pen Veh-Mi'!I21</f>
        <v>0</v>
      </c>
      <c r="J21" s="442">
        <f>'Market Data'!$O$52*'Mkt Pen Veh-Mi'!J21</f>
        <v>0</v>
      </c>
      <c r="K21" s="800">
        <f>'Market Data'!$O$52*'Mkt Pen Veh-Mi'!K21</f>
        <v>0</v>
      </c>
      <c r="L21" s="800">
        <f>'Market Data'!$O$52*'Mkt Pen Veh-Mi'!L21</f>
        <v>0</v>
      </c>
      <c r="M21" s="805">
        <f>'Market Data'!$O$52*'Mkt Pen Veh-Mi'!M21</f>
        <v>0</v>
      </c>
      <c r="N21" s="441">
        <f>'Market Data'!$Y$52*'Mkt Pen Veh-Mi'!N21</f>
        <v>8.967840728757831E-2</v>
      </c>
      <c r="O21" s="442">
        <f>'Market Data'!$Y$52*'Mkt Pen Veh-Mi'!O21</f>
        <v>0</v>
      </c>
      <c r="P21" s="442">
        <f>'Market Data'!$Y$52*'Mkt Pen Veh-Mi'!P21</f>
        <v>0</v>
      </c>
      <c r="Q21" s="800">
        <f>'Market Data'!$Y$52*'Mkt Pen Veh-Mi'!Q21</f>
        <v>0</v>
      </c>
      <c r="R21" s="800">
        <f>'Market Data'!$Y$52*'Mkt Pen Veh-Mi'!R21</f>
        <v>0</v>
      </c>
      <c r="S21" s="805">
        <f>'Market Data'!$Y$52*'Mkt Pen Veh-Mi'!S21</f>
        <v>0</v>
      </c>
      <c r="T21" s="441">
        <f t="shared" si="6"/>
        <v>0.99999999999999989</v>
      </c>
      <c r="U21" s="443">
        <f t="shared" si="8"/>
        <v>0</v>
      </c>
      <c r="X21" s="122"/>
    </row>
    <row r="22" spans="1:24" ht="15" x14ac:dyDescent="0.25">
      <c r="A22" s="420">
        <v>2020</v>
      </c>
      <c r="B22" s="444">
        <f>'Market Data'!$E$52*'Mkt Pen Veh-Mi'!B22</f>
        <v>0.66842924773992651</v>
      </c>
      <c r="C22" s="445">
        <f>'Market Data'!$E$52*'Mkt Pen Veh-Mi'!C22</f>
        <v>0</v>
      </c>
      <c r="D22" s="445">
        <f>'Market Data'!$E$52*'Mkt Pen Veh-Mi'!D22</f>
        <v>0</v>
      </c>
      <c r="E22" s="801">
        <f>'Market Data'!$E$52*'Mkt Pen Veh-Mi'!E22</f>
        <v>0</v>
      </c>
      <c r="F22" s="801">
        <f>'Market Data'!$E$52*'Mkt Pen Veh-Mi'!F22</f>
        <v>0</v>
      </c>
      <c r="G22" s="806">
        <f>'Market Data'!$E$52*'Mkt Pen Veh-Mi'!G22</f>
        <v>0</v>
      </c>
      <c r="H22" s="444">
        <f>'Market Data'!$O$52*'Mkt Pen Veh-Mi'!H22</f>
        <v>0.24189234497249509</v>
      </c>
      <c r="I22" s="445">
        <f>'Market Data'!$O$52*'Mkt Pen Veh-Mi'!I22</f>
        <v>0</v>
      </c>
      <c r="J22" s="445">
        <f>'Market Data'!$O$52*'Mkt Pen Veh-Mi'!J22</f>
        <v>0</v>
      </c>
      <c r="K22" s="801">
        <f>'Market Data'!$O$52*'Mkt Pen Veh-Mi'!K22</f>
        <v>0</v>
      </c>
      <c r="L22" s="801">
        <f>'Market Data'!$O$52*'Mkt Pen Veh-Mi'!L22</f>
        <v>0</v>
      </c>
      <c r="M22" s="806">
        <f>'Market Data'!$O$52*'Mkt Pen Veh-Mi'!M22</f>
        <v>0</v>
      </c>
      <c r="N22" s="444">
        <f>'Market Data'!$Y$52*'Mkt Pen Veh-Mi'!N22</f>
        <v>8.967840728757831E-2</v>
      </c>
      <c r="O22" s="445">
        <f>'Market Data'!$Y$52*'Mkt Pen Veh-Mi'!O22</f>
        <v>0</v>
      </c>
      <c r="P22" s="445">
        <f>'Market Data'!$Y$52*'Mkt Pen Veh-Mi'!P22</f>
        <v>0</v>
      </c>
      <c r="Q22" s="801">
        <f>'Market Data'!$Y$52*'Mkt Pen Veh-Mi'!Q22</f>
        <v>0</v>
      </c>
      <c r="R22" s="801">
        <f>'Market Data'!$Y$52*'Mkt Pen Veh-Mi'!R22</f>
        <v>0</v>
      </c>
      <c r="S22" s="806">
        <f>'Market Data'!$Y$52*'Mkt Pen Veh-Mi'!S22</f>
        <v>0</v>
      </c>
      <c r="T22" s="444">
        <f t="shared" si="6"/>
        <v>0.99999999999999989</v>
      </c>
      <c r="U22" s="446">
        <f t="shared" si="8"/>
        <v>0</v>
      </c>
      <c r="X22" s="122"/>
    </row>
    <row r="23" spans="1:24" ht="15" x14ac:dyDescent="0.25">
      <c r="A23" s="447">
        <v>2021</v>
      </c>
      <c r="B23" s="448">
        <f>'Market Data'!$E$52*'Mkt Pen Veh-Mi'!B23</f>
        <v>0.63827874967577225</v>
      </c>
      <c r="C23" s="449">
        <f>'Market Data'!$E$52*'Mkt Pen Veh-Mi'!C23</f>
        <v>1.942781870203953E-2</v>
      </c>
      <c r="D23" s="449">
        <f>'Market Data'!$E$52*'Mkt Pen Veh-Mi'!D23</f>
        <v>1.0722679362114755E-2</v>
      </c>
      <c r="E23" s="802">
        <f>'Market Data'!$E$52*'Mkt Pen Veh-Mi'!E23</f>
        <v>0</v>
      </c>
      <c r="F23" s="802">
        <f>'Market Data'!$E$52*'Mkt Pen Veh-Mi'!F23</f>
        <v>0</v>
      </c>
      <c r="G23" s="807">
        <f>'Market Data'!$E$52*'Mkt Pen Veh-Mi'!G23</f>
        <v>0</v>
      </c>
      <c r="H23" s="448">
        <f>'Market Data'!$O$52*'Mkt Pen Veh-Mi'!H23</f>
        <v>0.2328579871664648</v>
      </c>
      <c r="I23" s="449">
        <f>'Market Data'!$O$52*'Mkt Pen Veh-Mi'!I23</f>
        <v>5.4883987348398671E-3</v>
      </c>
      <c r="J23" s="449">
        <f>'Market Data'!$O$52*'Mkt Pen Veh-Mi'!J23</f>
        <v>3.5459590711904199E-3</v>
      </c>
      <c r="K23" s="802">
        <f>'Market Data'!$O$52*'Mkt Pen Veh-Mi'!K23</f>
        <v>0</v>
      </c>
      <c r="L23" s="802">
        <f>'Market Data'!$O$52*'Mkt Pen Veh-Mi'!L23</f>
        <v>0</v>
      </c>
      <c r="M23" s="807">
        <f>'Market Data'!$O$52*'Mkt Pen Veh-Mi'!M23</f>
        <v>0</v>
      </c>
      <c r="N23" s="448">
        <f>'Market Data'!$Y$52*'Mkt Pen Veh-Mi'!N23</f>
        <v>8.967840728757831E-2</v>
      </c>
      <c r="O23" s="449">
        <f>'Market Data'!$Y$52*'Mkt Pen Veh-Mi'!O23</f>
        <v>0</v>
      </c>
      <c r="P23" s="449">
        <f>'Market Data'!$Y$52*'Mkt Pen Veh-Mi'!P23</f>
        <v>0</v>
      </c>
      <c r="Q23" s="802">
        <f>'Market Data'!$Y$52*'Mkt Pen Veh-Mi'!Q23</f>
        <v>0</v>
      </c>
      <c r="R23" s="802">
        <f>'Market Data'!$Y$52*'Mkt Pen Veh-Mi'!R23</f>
        <v>0</v>
      </c>
      <c r="S23" s="807">
        <f>'Market Data'!$Y$52*'Mkt Pen Veh-Mi'!S23</f>
        <v>0</v>
      </c>
      <c r="T23" s="451">
        <f t="shared" si="6"/>
        <v>0.96081514412981528</v>
      </c>
      <c r="U23" s="452">
        <f t="shared" si="8"/>
        <v>3.9184855870184568E-2</v>
      </c>
      <c r="X23" s="122"/>
    </row>
    <row r="24" spans="1:24" ht="15" x14ac:dyDescent="0.25">
      <c r="A24" s="421">
        <v>2022</v>
      </c>
      <c r="B24" s="441">
        <f>'Market Data'!$E$52*'Mkt Pen Veh-Mi'!B24</f>
        <v>0.59348269400998521</v>
      </c>
      <c r="C24" s="442">
        <f>'Market Data'!$E$52*'Mkt Pen Veh-Mi'!C24</f>
        <v>4.2789918821432509E-2</v>
      </c>
      <c r="D24" s="442">
        <f>'Market Data'!$E$52*'Mkt Pen Veh-Mi'!D24</f>
        <v>3.2152088375682564E-2</v>
      </c>
      <c r="E24" s="800">
        <f>'Market Data'!$E$52*'Mkt Pen Veh-Mi'!E24</f>
        <v>4.5465328262490318E-6</v>
      </c>
      <c r="F24" s="800">
        <f>'Market Data'!$E$52*'Mkt Pen Veh-Mi'!F24</f>
        <v>0</v>
      </c>
      <c r="G24" s="805">
        <f>'Market Data'!$E$52*'Mkt Pen Veh-Mi'!G24</f>
        <v>0</v>
      </c>
      <c r="H24" s="441">
        <f>'Market Data'!$O$52*'Mkt Pen Veh-Mi'!H24</f>
        <v>0.21978155668683672</v>
      </c>
      <c r="I24" s="442">
        <f>'Market Data'!$O$52*'Mkt Pen Veh-Mi'!I24</f>
        <v>1.2916392650358884E-2</v>
      </c>
      <c r="J24" s="442">
        <f>'Market Data'!$O$52*'Mkt Pen Veh-Mi'!J24</f>
        <v>9.1943956352994963E-3</v>
      </c>
      <c r="K24" s="800">
        <f>'Market Data'!$O$52*'Mkt Pen Veh-Mi'!K24</f>
        <v>0</v>
      </c>
      <c r="L24" s="800">
        <f>'Market Data'!$O$52*'Mkt Pen Veh-Mi'!L24</f>
        <v>0</v>
      </c>
      <c r="M24" s="805">
        <f>'Market Data'!$O$52*'Mkt Pen Veh-Mi'!M24</f>
        <v>0</v>
      </c>
      <c r="N24" s="441">
        <f>'Market Data'!$Y$52*'Mkt Pen Veh-Mi'!N24</f>
        <v>8.6878615760926828E-2</v>
      </c>
      <c r="O24" s="442">
        <f>'Market Data'!$Y$52*'Mkt Pen Veh-Mi'!O24</f>
        <v>1.2149814314337487E-3</v>
      </c>
      <c r="P24" s="442">
        <f>'Market Data'!$Y$52*'Mkt Pen Veh-Mi'!P24</f>
        <v>1.3838052924171479E-3</v>
      </c>
      <c r="Q24" s="800">
        <f>'Market Data'!$Y$52*'Mkt Pen Veh-Mi'!Q24</f>
        <v>2.010048028005898E-4</v>
      </c>
      <c r="R24" s="800">
        <f>'Market Data'!$Y$52*'Mkt Pen Veh-Mi'!R24</f>
        <v>0</v>
      </c>
      <c r="S24" s="805">
        <f>'Market Data'!$Y$52*'Mkt Pen Veh-Mi'!S24</f>
        <v>0</v>
      </c>
      <c r="T24" s="441">
        <f t="shared" si="6"/>
        <v>0.90014286645774877</v>
      </c>
      <c r="U24" s="443">
        <f t="shared" si="8"/>
        <v>9.9857133542251189E-2</v>
      </c>
      <c r="X24" s="122"/>
    </row>
    <row r="25" spans="1:24" ht="15" x14ac:dyDescent="0.25">
      <c r="A25" s="421">
        <v>2023</v>
      </c>
      <c r="B25" s="441">
        <f>'Market Data'!$E$52*'Mkt Pen Veh-Mi'!B25</f>
        <v>0.50040768507677824</v>
      </c>
      <c r="C25" s="442">
        <f>'Market Data'!$E$52*'Mkt Pen Veh-Mi'!C25</f>
        <v>8.9301644721663243E-2</v>
      </c>
      <c r="D25" s="442">
        <f>'Market Data'!$E$52*'Mkt Pen Veh-Mi'!D25</f>
        <v>7.7488133376784188E-2</v>
      </c>
      <c r="E25" s="800">
        <f>'Market Data'!$E$52*'Mkt Pen Veh-Mi'!E25</f>
        <v>1.2317845647008456E-3</v>
      </c>
      <c r="F25" s="800">
        <f>'Market Data'!$E$52*'Mkt Pen Veh-Mi'!F25</f>
        <v>0</v>
      </c>
      <c r="G25" s="805">
        <f>'Market Data'!$E$52*'Mkt Pen Veh-Mi'!G25</f>
        <v>0</v>
      </c>
      <c r="H25" s="441">
        <f>'Market Data'!$O$52*'Mkt Pen Veh-Mi'!H25</f>
        <v>0.19398224025017474</v>
      </c>
      <c r="I25" s="442">
        <f>'Market Data'!$O$52*'Mkt Pen Veh-Mi'!I25</f>
        <v>2.7264571482555337E-2</v>
      </c>
      <c r="J25" s="442">
        <f>'Market Data'!$O$52*'Mkt Pen Veh-Mi'!J25</f>
        <v>2.0645533239765028E-2</v>
      </c>
      <c r="K25" s="800">
        <f>'Market Data'!$O$52*'Mkt Pen Veh-Mi'!K25</f>
        <v>0</v>
      </c>
      <c r="L25" s="800">
        <f>'Market Data'!$O$52*'Mkt Pen Veh-Mi'!L25</f>
        <v>0</v>
      </c>
      <c r="M25" s="805">
        <f>'Market Data'!$O$52*'Mkt Pen Veh-Mi'!M25</f>
        <v>0</v>
      </c>
      <c r="N25" s="441">
        <f>'Market Data'!$Y$52*'Mkt Pen Veh-Mi'!N25</f>
        <v>8.2845376782729949E-2</v>
      </c>
      <c r="O25" s="442">
        <f>'Market Data'!$Y$52*'Mkt Pen Veh-Mi'!O25</f>
        <v>2.9594427608755788E-3</v>
      </c>
      <c r="P25" s="442">
        <f>'Market Data'!$Y$52*'Mkt Pen Veh-Mi'!P25</f>
        <v>3.2254909139242008E-3</v>
      </c>
      <c r="Q25" s="800">
        <f>'Market Data'!$Y$52*'Mkt Pen Veh-Mi'!Q25</f>
        <v>6.4809683004858718E-4</v>
      </c>
      <c r="R25" s="800">
        <f>'Market Data'!$Y$52*'Mkt Pen Veh-Mi'!R25</f>
        <v>0</v>
      </c>
      <c r="S25" s="805">
        <f>'Market Data'!$Y$52*'Mkt Pen Veh-Mi'!S25</f>
        <v>0</v>
      </c>
      <c r="T25" s="441">
        <f t="shared" si="6"/>
        <v>0.77723530210968295</v>
      </c>
      <c r="U25" s="443">
        <f t="shared" si="8"/>
        <v>0.22276469789031703</v>
      </c>
      <c r="X25" s="122"/>
    </row>
    <row r="26" spans="1:24" ht="15" x14ac:dyDescent="0.25">
      <c r="A26" s="421">
        <v>2024</v>
      </c>
      <c r="B26" s="441">
        <f>'Market Data'!$E$52*'Mkt Pen Veh-Mi'!B26</f>
        <v>0.35908936433130162</v>
      </c>
      <c r="C26" s="442">
        <f>'Market Data'!$E$52*'Mkt Pen Veh-Mi'!C26</f>
        <v>0.15646572005766948</v>
      </c>
      <c r="D26" s="442">
        <f>'Market Data'!$E$52*'Mkt Pen Veh-Mi'!D26</f>
        <v>0.14304983108036307</v>
      </c>
      <c r="E26" s="800">
        <f>'Market Data'!$E$52*'Mkt Pen Veh-Mi'!E26</f>
        <v>9.8243322705923661E-3</v>
      </c>
      <c r="F26" s="800">
        <f>'Market Data'!$E$52*'Mkt Pen Veh-Mi'!F26</f>
        <v>0</v>
      </c>
      <c r="G26" s="805">
        <f>'Market Data'!$E$52*'Mkt Pen Veh-Mi'!G26</f>
        <v>0</v>
      </c>
      <c r="H26" s="441">
        <f>'Market Data'!$O$52*'Mkt Pen Veh-Mi'!H26</f>
        <v>0.15890676439778748</v>
      </c>
      <c r="I26" s="442">
        <f>'Market Data'!$O$52*'Mkt Pen Veh-Mi'!I26</f>
        <v>4.4022788388550511E-2</v>
      </c>
      <c r="J26" s="442">
        <f>'Market Data'!$O$52*'Mkt Pen Veh-Mi'!J26</f>
        <v>3.8962792186157107E-2</v>
      </c>
      <c r="K26" s="800">
        <f>'Market Data'!$O$52*'Mkt Pen Veh-Mi'!K26</f>
        <v>0</v>
      </c>
      <c r="L26" s="800">
        <f>'Market Data'!$O$52*'Mkt Pen Veh-Mi'!L26</f>
        <v>0</v>
      </c>
      <c r="M26" s="805">
        <f>'Market Data'!$O$52*'Mkt Pen Veh-Mi'!M26</f>
        <v>0</v>
      </c>
      <c r="N26" s="441">
        <f>'Market Data'!$Y$52*'Mkt Pen Veh-Mi'!N26</f>
        <v>7.578481793135082E-2</v>
      </c>
      <c r="O26" s="442">
        <f>'Market Data'!$Y$52*'Mkt Pen Veh-Mi'!O26</f>
        <v>5.8052641509668294E-3</v>
      </c>
      <c r="P26" s="442">
        <f>'Market Data'!$Y$52*'Mkt Pen Veh-Mi'!P26</f>
        <v>6.2632347926556992E-3</v>
      </c>
      <c r="Q26" s="800">
        <f>'Market Data'!$Y$52*'Mkt Pen Veh-Mi'!Q26</f>
        <v>1.8250904126049714E-3</v>
      </c>
      <c r="R26" s="800">
        <f>'Market Data'!$Y$52*'Mkt Pen Veh-Mi'!R26</f>
        <v>0</v>
      </c>
      <c r="S26" s="805">
        <f>'Market Data'!$Y$52*'Mkt Pen Veh-Mi'!S26</f>
        <v>0</v>
      </c>
      <c r="T26" s="441">
        <f t="shared" si="6"/>
        <v>0.5937809466604399</v>
      </c>
      <c r="U26" s="443">
        <f t="shared" si="8"/>
        <v>0.40621905333955999</v>
      </c>
      <c r="X26" s="122"/>
    </row>
    <row r="27" spans="1:24" ht="15" x14ac:dyDescent="0.25">
      <c r="A27" s="420">
        <v>2025</v>
      </c>
      <c r="B27" s="444">
        <f>'Market Data'!$E$52*'Mkt Pen Veh-Mi'!B27</f>
        <v>0.22011708078155776</v>
      </c>
      <c r="C27" s="445">
        <f>'Market Data'!$E$52*'Mkt Pen Veh-Mi'!C27</f>
        <v>0.21391796347110537</v>
      </c>
      <c r="D27" s="445">
        <f>'Market Data'!$E$52*'Mkt Pen Veh-Mi'!D27</f>
        <v>0.20330746858773072</v>
      </c>
      <c r="E27" s="801">
        <f>'Market Data'!$E$52*'Mkt Pen Veh-Mi'!E27</f>
        <v>3.1086734899532658E-2</v>
      </c>
      <c r="F27" s="801">
        <f>'Market Data'!$E$52*'Mkt Pen Veh-Mi'!F27</f>
        <v>0</v>
      </c>
      <c r="G27" s="806">
        <f>'Market Data'!$E$52*'Mkt Pen Veh-Mi'!G27</f>
        <v>0</v>
      </c>
      <c r="H27" s="444">
        <f>'Market Data'!$O$52*'Mkt Pen Veh-Mi'!H27</f>
        <v>0.12561458444404924</v>
      </c>
      <c r="I27" s="445">
        <f>'Market Data'!$O$52*'Mkt Pen Veh-Mi'!I27</f>
        <v>5.9170906160620963E-2</v>
      </c>
      <c r="J27" s="445">
        <f>'Market Data'!$O$52*'Mkt Pen Veh-Mi'!J27</f>
        <v>5.7106854367824873E-2</v>
      </c>
      <c r="K27" s="801">
        <f>'Market Data'!$O$52*'Mkt Pen Veh-Mi'!K27</f>
        <v>0</v>
      </c>
      <c r="L27" s="801">
        <f>'Market Data'!$O$52*'Mkt Pen Veh-Mi'!L27</f>
        <v>0</v>
      </c>
      <c r="M27" s="806">
        <f>'Market Data'!$O$52*'Mkt Pen Veh-Mi'!M27</f>
        <v>0</v>
      </c>
      <c r="N27" s="444">
        <f>'Market Data'!$Y$52*'Mkt Pen Veh-Mi'!N27</f>
        <v>6.8010368694649187E-2</v>
      </c>
      <c r="O27" s="445">
        <f>'Market Data'!$Y$52*'Mkt Pen Veh-Mi'!O27</f>
        <v>7.2028464649523975E-3</v>
      </c>
      <c r="P27" s="445">
        <f>'Market Data'!$Y$52*'Mkt Pen Veh-Mi'!P27</f>
        <v>1.0353363960667428E-2</v>
      </c>
      <c r="Q27" s="801">
        <f>'Market Data'!$Y$52*'Mkt Pen Veh-Mi'!Q27</f>
        <v>4.1117935837658159E-3</v>
      </c>
      <c r="R27" s="801">
        <f>'Market Data'!$Y$52*'Mkt Pen Veh-Mi'!R27</f>
        <v>3.458354348500297E-8</v>
      </c>
      <c r="S27" s="806">
        <f>'Market Data'!$Y$52*'Mkt Pen Veh-Mi'!S27</f>
        <v>0</v>
      </c>
      <c r="T27" s="444">
        <f t="shared" si="6"/>
        <v>0.41374203392025621</v>
      </c>
      <c r="U27" s="446">
        <f t="shared" si="8"/>
        <v>0.58625796607974368</v>
      </c>
      <c r="X27" s="122"/>
    </row>
    <row r="28" spans="1:24" ht="15" x14ac:dyDescent="0.25">
      <c r="A28" s="447">
        <v>2026</v>
      </c>
      <c r="B28" s="448">
        <f>'Market Data'!$E$52*'Mkt Pen Veh-Mi'!B28</f>
        <v>0.11644236264074775</v>
      </c>
      <c r="C28" s="449">
        <f>'Market Data'!$E$52*'Mkt Pen Veh-Mi'!C28</f>
        <v>0.24879676030543277</v>
      </c>
      <c r="D28" s="449">
        <f>'Market Data'!$E$52*'Mkt Pen Veh-Mi'!D28</f>
        <v>0.2401284312777357</v>
      </c>
      <c r="E28" s="802">
        <f>'Market Data'!$E$52*'Mkt Pen Veh-Mi'!E28</f>
        <v>6.306169351601032E-2</v>
      </c>
      <c r="F28" s="802">
        <f>'Market Data'!$E$52*'Mkt Pen Veh-Mi'!F28</f>
        <v>0</v>
      </c>
      <c r="G28" s="807">
        <f>'Market Data'!$E$52*'Mkt Pen Veh-Mi'!G28</f>
        <v>0</v>
      </c>
      <c r="H28" s="448">
        <f>'Market Data'!$O$52*'Mkt Pen Veh-Mi'!H28</f>
        <v>9.0991314198749854E-2</v>
      </c>
      <c r="I28" s="449">
        <f>'Market Data'!$O$52*'Mkt Pen Veh-Mi'!I28</f>
        <v>7.6731379321713533E-2</v>
      </c>
      <c r="J28" s="449">
        <f>'Market Data'!$O$52*'Mkt Pen Veh-Mi'!J28</f>
        <v>7.4169651452031693E-2</v>
      </c>
      <c r="K28" s="802">
        <f>'Market Data'!$O$52*'Mkt Pen Veh-Mi'!K28</f>
        <v>0</v>
      </c>
      <c r="L28" s="802">
        <f>'Market Data'!$O$52*'Mkt Pen Veh-Mi'!L28</f>
        <v>0</v>
      </c>
      <c r="M28" s="807">
        <f>'Market Data'!$O$52*'Mkt Pen Veh-Mi'!M28</f>
        <v>0</v>
      </c>
      <c r="N28" s="448">
        <f>'Market Data'!$Y$52*'Mkt Pen Veh-Mi'!N28</f>
        <v>5.6567489823504694E-2</v>
      </c>
      <c r="O28" s="449">
        <f>'Market Data'!$Y$52*'Mkt Pen Veh-Mi'!O28</f>
        <v>1.0092516758942545E-2</v>
      </c>
      <c r="P28" s="449">
        <f>'Market Data'!$Y$52*'Mkt Pen Veh-Mi'!P28</f>
        <v>1.6404824942126559E-2</v>
      </c>
      <c r="Q28" s="802">
        <f>'Market Data'!$Y$52*'Mkt Pen Veh-Mi'!Q28</f>
        <v>6.612792698327305E-3</v>
      </c>
      <c r="R28" s="802">
        <f>'Market Data'!$Y$52*'Mkt Pen Veh-Mi'!R28</f>
        <v>7.8306467720513004E-7</v>
      </c>
      <c r="S28" s="807">
        <f>'Market Data'!$Y$52*'Mkt Pen Veh-Mi'!S28</f>
        <v>0</v>
      </c>
      <c r="T28" s="451">
        <f t="shared" si="6"/>
        <v>0.26400116666300227</v>
      </c>
      <c r="U28" s="452">
        <f t="shared" si="8"/>
        <v>0.73599883333699756</v>
      </c>
      <c r="X28" s="122"/>
    </row>
    <row r="29" spans="1:24" ht="15" x14ac:dyDescent="0.25">
      <c r="A29" s="421">
        <v>2027</v>
      </c>
      <c r="B29" s="441">
        <f>'Market Data'!$E$52*'Mkt Pen Veh-Mi'!B29</f>
        <v>6.2794342561871941E-2</v>
      </c>
      <c r="C29" s="442">
        <f>'Market Data'!$E$52*'Mkt Pen Veh-Mi'!C29</f>
        <v>0.25658767853161712</v>
      </c>
      <c r="D29" s="442">
        <f>'Market Data'!$E$52*'Mkt Pen Veh-Mi'!D29</f>
        <v>0.25158959810234355</v>
      </c>
      <c r="E29" s="800">
        <f>'Market Data'!$E$52*'Mkt Pen Veh-Mi'!E29</f>
        <v>9.7457628544093927E-2</v>
      </c>
      <c r="F29" s="800">
        <f>'Market Data'!$E$52*'Mkt Pen Veh-Mi'!F29</f>
        <v>0</v>
      </c>
      <c r="G29" s="805">
        <f>'Market Data'!$E$52*'Mkt Pen Veh-Mi'!G29</f>
        <v>0</v>
      </c>
      <c r="H29" s="441">
        <f>'Market Data'!$O$52*'Mkt Pen Veh-Mi'!H29</f>
        <v>6.9004760955934413E-2</v>
      </c>
      <c r="I29" s="442">
        <f>'Market Data'!$O$52*'Mkt Pen Veh-Mi'!I29</f>
        <v>8.7613592416478356E-2</v>
      </c>
      <c r="J29" s="442">
        <f>'Market Data'!$O$52*'Mkt Pen Veh-Mi'!J29</f>
        <v>8.5273991600082324E-2</v>
      </c>
      <c r="K29" s="800">
        <f>'Market Data'!$O$52*'Mkt Pen Veh-Mi'!K29</f>
        <v>0</v>
      </c>
      <c r="L29" s="800">
        <f>'Market Data'!$O$52*'Mkt Pen Veh-Mi'!L29</f>
        <v>0</v>
      </c>
      <c r="M29" s="805">
        <f>'Market Data'!$O$52*'Mkt Pen Veh-Mi'!M29</f>
        <v>0</v>
      </c>
      <c r="N29" s="441">
        <f>'Market Data'!$Y$52*'Mkt Pen Veh-Mi'!N29</f>
        <v>4.8329690539950919E-2</v>
      </c>
      <c r="O29" s="442">
        <f>'Market Data'!$Y$52*'Mkt Pen Veh-Mi'!O29</f>
        <v>1.2737881943185802E-2</v>
      </c>
      <c r="P29" s="442">
        <f>'Market Data'!$Y$52*'Mkt Pen Veh-Mi'!P29</f>
        <v>1.9841683846382043E-2</v>
      </c>
      <c r="Q29" s="800">
        <f>'Market Data'!$Y$52*'Mkt Pen Veh-Mi'!Q29</f>
        <v>8.7585362037596662E-3</v>
      </c>
      <c r="R29" s="800">
        <f>'Market Data'!$Y$52*'Mkt Pen Veh-Mi'!R29</f>
        <v>1.0614754299872175E-5</v>
      </c>
      <c r="S29" s="805">
        <f>'Market Data'!$Y$52*'Mkt Pen Veh-Mi'!S29</f>
        <v>0</v>
      </c>
      <c r="T29" s="441">
        <f t="shared" si="6"/>
        <v>0.18012879405775728</v>
      </c>
      <c r="U29" s="443">
        <f t="shared" si="8"/>
        <v>0.81987120594224272</v>
      </c>
      <c r="X29" s="122"/>
    </row>
    <row r="30" spans="1:24" ht="15" x14ac:dyDescent="0.25">
      <c r="A30" s="421">
        <v>2028</v>
      </c>
      <c r="B30" s="441">
        <f>'Market Data'!$E$52*'Mkt Pen Veh-Mi'!B30</f>
        <v>3.6065897521277493E-2</v>
      </c>
      <c r="C30" s="442">
        <f>'Market Data'!$E$52*'Mkt Pen Veh-Mi'!C30</f>
        <v>0.25616692590818352</v>
      </c>
      <c r="D30" s="442">
        <f>'Market Data'!$E$52*'Mkt Pen Veh-Mi'!D30</f>
        <v>0.25202903701957147</v>
      </c>
      <c r="E30" s="800">
        <f>'Market Data'!$E$52*'Mkt Pen Veh-Mi'!E30</f>
        <v>0.12416738729089404</v>
      </c>
      <c r="F30" s="800">
        <f>'Market Data'!$E$52*'Mkt Pen Veh-Mi'!F30</f>
        <v>0</v>
      </c>
      <c r="G30" s="805">
        <f>'Market Data'!$E$52*'Mkt Pen Veh-Mi'!G30</f>
        <v>0</v>
      </c>
      <c r="H30" s="441">
        <f>'Market Data'!$O$52*'Mkt Pen Veh-Mi'!H30</f>
        <v>5.8403605054844855E-2</v>
      </c>
      <c r="I30" s="442">
        <f>'Market Data'!$O$52*'Mkt Pen Veh-Mi'!I30</f>
        <v>9.2320238315970818E-2</v>
      </c>
      <c r="J30" s="442">
        <f>'Market Data'!$O$52*'Mkt Pen Veh-Mi'!J30</f>
        <v>9.1168501601679414E-2</v>
      </c>
      <c r="K30" s="800">
        <f>'Market Data'!$O$52*'Mkt Pen Veh-Mi'!K30</f>
        <v>0</v>
      </c>
      <c r="L30" s="800">
        <f>'Market Data'!$O$52*'Mkt Pen Veh-Mi'!L30</f>
        <v>0</v>
      </c>
      <c r="M30" s="805">
        <f>'Market Data'!$O$52*'Mkt Pen Veh-Mi'!M30</f>
        <v>0</v>
      </c>
      <c r="N30" s="441">
        <f>'Market Data'!$Y$52*'Mkt Pen Veh-Mi'!N30</f>
        <v>4.3534893049298536E-2</v>
      </c>
      <c r="O30" s="442">
        <f>'Market Data'!$Y$52*'Mkt Pen Veh-Mi'!O30</f>
        <v>1.458463408533496E-2</v>
      </c>
      <c r="P30" s="442">
        <f>'Market Data'!$Y$52*'Mkt Pen Veh-Mi'!P30</f>
        <v>2.1274325579791396E-2</v>
      </c>
      <c r="Q30" s="800">
        <f>'Market Data'!$Y$52*'Mkt Pen Veh-Mi'!Q30</f>
        <v>1.0228082678273912E-2</v>
      </c>
      <c r="R30" s="800">
        <f>'Market Data'!$Y$52*'Mkt Pen Veh-Mi'!R30</f>
        <v>5.6471894879503468E-5</v>
      </c>
      <c r="S30" s="805">
        <f>'Market Data'!$Y$52*'Mkt Pen Veh-Mi'!S30</f>
        <v>0</v>
      </c>
      <c r="T30" s="441">
        <f t="shared" si="6"/>
        <v>0.13800439562542088</v>
      </c>
      <c r="U30" s="443">
        <f t="shared" si="8"/>
        <v>0.86199560437457912</v>
      </c>
      <c r="X30" s="122"/>
    </row>
    <row r="31" spans="1:24" ht="15" x14ac:dyDescent="0.25">
      <c r="A31" s="421">
        <v>2029</v>
      </c>
      <c r="B31" s="441">
        <f>'Market Data'!$E$52*'Mkt Pen Veh-Mi'!B31</f>
        <v>2.2666095852285448E-2</v>
      </c>
      <c r="C31" s="442">
        <f>'Market Data'!$E$52*'Mkt Pen Veh-Mi'!C31</f>
        <v>0.24991957395189279</v>
      </c>
      <c r="D31" s="442">
        <f>'Market Data'!$E$52*'Mkt Pen Veh-Mi'!D31</f>
        <v>0.24795840936072402</v>
      </c>
      <c r="E31" s="800">
        <f>'Market Data'!$E$52*'Mkt Pen Veh-Mi'!E31</f>
        <v>0.14788516857502423</v>
      </c>
      <c r="F31" s="800">
        <f>'Market Data'!$E$52*'Mkt Pen Veh-Mi'!F31</f>
        <v>0</v>
      </c>
      <c r="G31" s="805">
        <f>'Market Data'!$E$52*'Mkt Pen Veh-Mi'!G31</f>
        <v>0</v>
      </c>
      <c r="H31" s="441">
        <f>'Market Data'!$O$52*'Mkt Pen Veh-Mi'!H31</f>
        <v>4.9659982872778861E-2</v>
      </c>
      <c r="I31" s="442">
        <f>'Market Data'!$O$52*'Mkt Pen Veh-Mi'!I31</f>
        <v>9.6393100462606657E-2</v>
      </c>
      <c r="J31" s="442">
        <f>'Market Data'!$O$52*'Mkt Pen Veh-Mi'!J31</f>
        <v>9.5839261637109596E-2</v>
      </c>
      <c r="K31" s="800">
        <f>'Market Data'!$O$52*'Mkt Pen Veh-Mi'!K31</f>
        <v>0</v>
      </c>
      <c r="L31" s="800">
        <f>'Market Data'!$O$52*'Mkt Pen Veh-Mi'!L31</f>
        <v>0</v>
      </c>
      <c r="M31" s="805">
        <f>'Market Data'!$O$52*'Mkt Pen Veh-Mi'!M31</f>
        <v>0</v>
      </c>
      <c r="N31" s="441">
        <f>'Market Data'!$Y$52*'Mkt Pen Veh-Mi'!N31</f>
        <v>4.1004614336733337E-2</v>
      </c>
      <c r="O31" s="442">
        <f>'Market Data'!$Y$52*'Mkt Pen Veh-Mi'!O31</f>
        <v>1.5570474324356992E-2</v>
      </c>
      <c r="P31" s="442">
        <f>'Market Data'!$Y$52*'Mkt Pen Veh-Mi'!P31</f>
        <v>2.1313153372313851E-2</v>
      </c>
      <c r="Q31" s="800">
        <f>'Market Data'!$Y$52*'Mkt Pen Veh-Mi'!Q31</f>
        <v>1.1573059743576848E-2</v>
      </c>
      <c r="R31" s="800">
        <f>'Market Data'!$Y$52*'Mkt Pen Veh-Mi'!R31</f>
        <v>2.1710551059727558E-4</v>
      </c>
      <c r="S31" s="805">
        <f>'Market Data'!$Y$52*'Mkt Pen Veh-Mi'!S31</f>
        <v>0</v>
      </c>
      <c r="T31" s="441">
        <f t="shared" si="6"/>
        <v>0.11333069306179766</v>
      </c>
      <c r="U31" s="443">
        <f t="shared" si="8"/>
        <v>0.88666930693820223</v>
      </c>
      <c r="X31" s="122"/>
    </row>
    <row r="32" spans="1:24" ht="15" x14ac:dyDescent="0.25">
      <c r="A32" s="420">
        <v>2030</v>
      </c>
      <c r="B32" s="444">
        <f>'Market Data'!$E$52*'Mkt Pen Veh-Mi'!B32</f>
        <v>1.6907766904518739E-2</v>
      </c>
      <c r="C32" s="445">
        <f>'Market Data'!$E$52*'Mkt Pen Veh-Mi'!C32</f>
        <v>0.24322509970489381</v>
      </c>
      <c r="D32" s="445">
        <f>'Market Data'!$E$52*'Mkt Pen Veh-Mi'!D32</f>
        <v>0.24236618776631189</v>
      </c>
      <c r="E32" s="801">
        <f>'Market Data'!$E$52*'Mkt Pen Veh-Mi'!E32</f>
        <v>0.16593019336420209</v>
      </c>
      <c r="F32" s="801">
        <f>'Market Data'!$E$52*'Mkt Pen Veh-Mi'!F32</f>
        <v>0</v>
      </c>
      <c r="G32" s="806">
        <f>'Market Data'!$E$52*'Mkt Pen Veh-Mi'!G32</f>
        <v>0</v>
      </c>
      <c r="H32" s="444">
        <f>'Market Data'!$O$52*'Mkt Pen Veh-Mi'!H32</f>
        <v>4.3837192408030898E-2</v>
      </c>
      <c r="I32" s="445">
        <f>'Market Data'!$O$52*'Mkt Pen Veh-Mi'!I32</f>
        <v>9.9135912749233196E-2</v>
      </c>
      <c r="J32" s="445">
        <f>'Market Data'!$O$52*'Mkt Pen Veh-Mi'!J32</f>
        <v>9.8919239815231014E-2</v>
      </c>
      <c r="K32" s="801">
        <f>'Market Data'!$O$52*'Mkt Pen Veh-Mi'!K32</f>
        <v>0</v>
      </c>
      <c r="L32" s="801">
        <f>'Market Data'!$O$52*'Mkt Pen Veh-Mi'!L32</f>
        <v>0</v>
      </c>
      <c r="M32" s="806">
        <f>'Market Data'!$O$52*'Mkt Pen Veh-Mi'!M32</f>
        <v>0</v>
      </c>
      <c r="N32" s="444">
        <f>'Market Data'!$Y$52*'Mkt Pen Veh-Mi'!N32</f>
        <v>3.887625268975551E-2</v>
      </c>
      <c r="O32" s="445">
        <f>'Market Data'!$Y$52*'Mkt Pen Veh-Mi'!O32</f>
        <v>1.6096332615707858E-2</v>
      </c>
      <c r="P32" s="445">
        <f>'Market Data'!$Y$52*'Mkt Pen Veh-Mi'!P32</f>
        <v>2.1848533494265399E-2</v>
      </c>
      <c r="Q32" s="801">
        <f>'Market Data'!$Y$52*'Mkt Pen Veh-Mi'!Q32</f>
        <v>1.2376127960809565E-2</v>
      </c>
      <c r="R32" s="801">
        <f>'Market Data'!$Y$52*'Mkt Pen Veh-Mi'!R32</f>
        <v>4.811605270399778E-4</v>
      </c>
      <c r="S32" s="806">
        <f>'Market Data'!$Y$52*'Mkt Pen Veh-Mi'!S32</f>
        <v>0</v>
      </c>
      <c r="T32" s="444">
        <f t="shared" si="6"/>
        <v>9.9621212002305143E-2</v>
      </c>
      <c r="U32" s="446">
        <f t="shared" si="8"/>
        <v>0.90037878799769477</v>
      </c>
      <c r="X32" s="122"/>
    </row>
    <row r="33" spans="1:21" ht="15" x14ac:dyDescent="0.25">
      <c r="A33" s="447">
        <v>2031</v>
      </c>
      <c r="B33" s="448">
        <f>'Market Data'!$E$52*'Mkt Pen Veh-Mi'!B33</f>
        <v>1.5780889101470699E-2</v>
      </c>
      <c r="C33" s="449">
        <f>'Market Data'!$E$52*'Mkt Pen Veh-Mi'!C33</f>
        <v>0.24154235328714896</v>
      </c>
      <c r="D33" s="449">
        <f>'Market Data'!$E$52*'Mkt Pen Veh-Mi'!D33</f>
        <v>0.24063742608174576</v>
      </c>
      <c r="E33" s="802">
        <f>'Market Data'!$E$52*'Mkt Pen Veh-Mi'!E33</f>
        <v>0.1704685792695611</v>
      </c>
      <c r="F33" s="802">
        <f>'Market Data'!$E$52*'Mkt Pen Veh-Mi'!F33</f>
        <v>0</v>
      </c>
      <c r="G33" s="807">
        <f>'Market Data'!$E$52*'Mkt Pen Veh-Mi'!G33</f>
        <v>0</v>
      </c>
      <c r="H33" s="448">
        <f>'Market Data'!$O$52*'Mkt Pen Veh-Mi'!H33</f>
        <v>4.3422125469955816E-2</v>
      </c>
      <c r="I33" s="449">
        <f>'Market Data'!$O$52*'Mkt Pen Veh-Mi'!I33</f>
        <v>9.9224070904634878E-2</v>
      </c>
      <c r="J33" s="449">
        <f>'Market Data'!$O$52*'Mkt Pen Veh-Mi'!J33</f>
        <v>9.9179610144977073E-2</v>
      </c>
      <c r="K33" s="802">
        <f>'Market Data'!$O$52*'Mkt Pen Veh-Mi'!K33</f>
        <v>6.6538452927330385E-5</v>
      </c>
      <c r="L33" s="802">
        <f>'Market Data'!$O$52*'Mkt Pen Veh-Mi'!L33</f>
        <v>0</v>
      </c>
      <c r="M33" s="807">
        <f>'Market Data'!$O$52*'Mkt Pen Veh-Mi'!M33</f>
        <v>0</v>
      </c>
      <c r="N33" s="448">
        <f>'Market Data'!$Y$52*'Mkt Pen Veh-Mi'!N33</f>
        <v>3.8629466379868985E-2</v>
      </c>
      <c r="O33" s="449">
        <f>'Market Data'!$Y$52*'Mkt Pen Veh-Mi'!O33</f>
        <v>1.6327868786070926E-2</v>
      </c>
      <c r="P33" s="449">
        <f>'Market Data'!$Y$52*'Mkt Pen Veh-Mi'!P33</f>
        <v>2.1610131443238614E-2</v>
      </c>
      <c r="Q33" s="802">
        <f>'Market Data'!$Y$52*'Mkt Pen Veh-Mi'!Q33</f>
        <v>1.2445494704552383E-2</v>
      </c>
      <c r="R33" s="802">
        <f>'Market Data'!$Y$52*'Mkt Pen Veh-Mi'!R33</f>
        <v>6.6544597384740622E-4</v>
      </c>
      <c r="S33" s="807">
        <f>'Market Data'!$Y$52*'Mkt Pen Veh-Mi'!S33</f>
        <v>0</v>
      </c>
      <c r="T33" s="451">
        <f t="shared" si="6"/>
        <v>9.78324809512955E-2</v>
      </c>
      <c r="U33" s="452">
        <f t="shared" si="8"/>
        <v>0.9021675190487044</v>
      </c>
    </row>
    <row r="34" spans="1:21" ht="15" x14ac:dyDescent="0.25">
      <c r="A34" s="421">
        <v>2032</v>
      </c>
      <c r="B34" s="441">
        <f>'Market Data'!$E$52*'Mkt Pen Veh-Mi'!B34</f>
        <v>1.5404816125293498E-2</v>
      </c>
      <c r="C34" s="442">
        <f>'Market Data'!$E$52*'Mkt Pen Veh-Mi'!C34</f>
        <v>0.23997036512804276</v>
      </c>
      <c r="D34" s="442">
        <f>'Market Data'!$E$52*'Mkt Pen Veh-Mi'!D34</f>
        <v>0.23925504133081713</v>
      </c>
      <c r="E34" s="800">
        <f>'Market Data'!$E$52*'Mkt Pen Veh-Mi'!E34</f>
        <v>0.17379902515577317</v>
      </c>
      <c r="F34" s="800">
        <f>'Market Data'!$E$52*'Mkt Pen Veh-Mi'!F34</f>
        <v>0</v>
      </c>
      <c r="G34" s="805">
        <f>'Market Data'!$E$52*'Mkt Pen Veh-Mi'!G34</f>
        <v>0</v>
      </c>
      <c r="H34" s="441">
        <f>'Market Data'!$O$52*'Mkt Pen Veh-Mi'!H34</f>
        <v>4.3174450186669294E-2</v>
      </c>
      <c r="I34" s="442">
        <f>'Market Data'!$O$52*'Mkt Pen Veh-Mi'!I34</f>
        <v>9.8987499545850177E-2</v>
      </c>
      <c r="J34" s="442">
        <f>'Market Data'!$O$52*'Mkt Pen Veh-Mi'!J34</f>
        <v>9.8943144790131027E-2</v>
      </c>
      <c r="K34" s="800">
        <f>'Market Data'!$O$52*'Mkt Pen Veh-Mi'!K34</f>
        <v>7.8725044984459677E-4</v>
      </c>
      <c r="L34" s="800">
        <f>'Market Data'!$O$52*'Mkt Pen Veh-Mi'!L34</f>
        <v>0</v>
      </c>
      <c r="M34" s="805">
        <f>'Market Data'!$O$52*'Mkt Pen Veh-Mi'!M34</f>
        <v>0</v>
      </c>
      <c r="N34" s="441">
        <f>'Market Data'!$Y$52*'Mkt Pen Veh-Mi'!N34</f>
        <v>3.73308047951166E-2</v>
      </c>
      <c r="O34" s="442">
        <f>'Market Data'!$Y$52*'Mkt Pen Veh-Mi'!O34</f>
        <v>1.6541354948290843E-2</v>
      </c>
      <c r="P34" s="442">
        <f>'Market Data'!$Y$52*'Mkt Pen Veh-Mi'!P34</f>
        <v>2.2304826004832329E-2</v>
      </c>
      <c r="Q34" s="800">
        <f>'Market Data'!$Y$52*'Mkt Pen Veh-Mi'!Q34</f>
        <v>1.2601942424084172E-2</v>
      </c>
      <c r="R34" s="800">
        <f>'Market Data'!$Y$52*'Mkt Pen Veh-Mi'!R34</f>
        <v>8.994791152543665E-4</v>
      </c>
      <c r="S34" s="805">
        <f>'Market Data'!$Y$52*'Mkt Pen Veh-Mi'!S34</f>
        <v>0</v>
      </c>
      <c r="T34" s="441">
        <f t="shared" si="6"/>
        <v>9.5910071107079387E-2</v>
      </c>
      <c r="U34" s="443">
        <f t="shared" si="8"/>
        <v>0.90408992889292061</v>
      </c>
    </row>
    <row r="35" spans="1:21" ht="15" x14ac:dyDescent="0.25">
      <c r="A35" s="421">
        <v>2033</v>
      </c>
      <c r="B35" s="441">
        <f>'Market Data'!$E$52*'Mkt Pen Veh-Mi'!B35</f>
        <v>1.5160608643794687E-2</v>
      </c>
      <c r="C35" s="442">
        <f>'Market Data'!$E$52*'Mkt Pen Veh-Mi'!C35</f>
        <v>0.2389561475347497</v>
      </c>
      <c r="D35" s="442">
        <f>'Market Data'!$E$52*'Mkt Pen Veh-Mi'!D35</f>
        <v>0.23851948060235842</v>
      </c>
      <c r="E35" s="800">
        <f>'Market Data'!$E$52*'Mkt Pen Veh-Mi'!E35</f>
        <v>0.17579301095902375</v>
      </c>
      <c r="F35" s="800">
        <f>'Market Data'!$E$52*'Mkt Pen Veh-Mi'!F35</f>
        <v>0</v>
      </c>
      <c r="G35" s="805">
        <f>'Market Data'!$E$52*'Mkt Pen Veh-Mi'!G35</f>
        <v>0</v>
      </c>
      <c r="H35" s="441">
        <f>'Market Data'!$O$52*'Mkt Pen Veh-Mi'!H35</f>
        <v>4.2493016583284644E-2</v>
      </c>
      <c r="I35" s="442">
        <f>'Market Data'!$O$52*'Mkt Pen Veh-Mi'!I35</f>
        <v>9.8318864854627736E-2</v>
      </c>
      <c r="J35" s="442">
        <f>'Market Data'!$O$52*'Mkt Pen Veh-Mi'!J35</f>
        <v>9.8274809703692345E-2</v>
      </c>
      <c r="K35" s="800">
        <f>'Market Data'!$O$52*'Mkt Pen Veh-Mi'!K35</f>
        <v>2.8056538308904038E-3</v>
      </c>
      <c r="L35" s="800">
        <f>'Market Data'!$O$52*'Mkt Pen Veh-Mi'!L35</f>
        <v>0</v>
      </c>
      <c r="M35" s="805">
        <f>'Market Data'!$O$52*'Mkt Pen Veh-Mi'!M35</f>
        <v>0</v>
      </c>
      <c r="N35" s="441">
        <f>'Market Data'!$Y$52*'Mkt Pen Veh-Mi'!N35</f>
        <v>3.7289248353575902E-2</v>
      </c>
      <c r="O35" s="442">
        <f>'Market Data'!$Y$52*'Mkt Pen Veh-Mi'!O35</f>
        <v>1.6389896944691774E-2</v>
      </c>
      <c r="P35" s="442">
        <f>'Market Data'!$Y$52*'Mkt Pen Veh-Mi'!P35</f>
        <v>2.2160618981282413E-2</v>
      </c>
      <c r="Q35" s="800">
        <f>'Market Data'!$Y$52*'Mkt Pen Veh-Mi'!Q35</f>
        <v>1.2643833218968302E-2</v>
      </c>
      <c r="R35" s="800">
        <f>'Market Data'!$Y$52*'Mkt Pen Veh-Mi'!R35</f>
        <v>1.1948097890599201E-3</v>
      </c>
      <c r="S35" s="805">
        <f>'Market Data'!$Y$52*'Mkt Pen Veh-Mi'!S35</f>
        <v>0</v>
      </c>
      <c r="T35" s="441">
        <f t="shared" si="6"/>
        <v>9.4942873580655229E-2</v>
      </c>
      <c r="U35" s="443">
        <f t="shared" si="8"/>
        <v>0.90505712641934477</v>
      </c>
    </row>
    <row r="36" spans="1:21" ht="15" x14ac:dyDescent="0.25">
      <c r="A36" s="421">
        <v>2034</v>
      </c>
      <c r="B36" s="441">
        <f>'Market Data'!$E$52*'Mkt Pen Veh-Mi'!B36</f>
        <v>1.4851100462193161E-2</v>
      </c>
      <c r="C36" s="442">
        <f>'Market Data'!$E$52*'Mkt Pen Veh-Mi'!C36</f>
        <v>0.23810217469057018</v>
      </c>
      <c r="D36" s="442">
        <f>'Market Data'!$E$52*'Mkt Pen Veh-Mi'!D36</f>
        <v>0.23767744758918913</v>
      </c>
      <c r="E36" s="800">
        <f>'Market Data'!$E$52*'Mkt Pen Veh-Mi'!E36</f>
        <v>0.17779852499797399</v>
      </c>
      <c r="F36" s="800">
        <f>'Market Data'!$E$52*'Mkt Pen Veh-Mi'!F36</f>
        <v>0</v>
      </c>
      <c r="G36" s="805">
        <f>'Market Data'!$E$52*'Mkt Pen Veh-Mi'!G36</f>
        <v>0</v>
      </c>
      <c r="H36" s="441">
        <f>'Market Data'!$O$52*'Mkt Pen Veh-Mi'!H36</f>
        <v>4.2477462172905753E-2</v>
      </c>
      <c r="I36" s="442">
        <f>'Market Data'!$O$52*'Mkt Pen Veh-Mi'!I36</f>
        <v>9.6340031655016756E-2</v>
      </c>
      <c r="J36" s="442">
        <f>'Market Data'!$O$52*'Mkt Pen Veh-Mi'!J36</f>
        <v>9.6296863188395865E-2</v>
      </c>
      <c r="K36" s="800">
        <f>'Market Data'!$O$52*'Mkt Pen Veh-Mi'!K36</f>
        <v>6.7779879561766987E-3</v>
      </c>
      <c r="L36" s="800">
        <f>'Market Data'!$O$52*'Mkt Pen Veh-Mi'!L36</f>
        <v>0</v>
      </c>
      <c r="M36" s="805">
        <f>'Market Data'!$O$52*'Mkt Pen Veh-Mi'!M36</f>
        <v>0</v>
      </c>
      <c r="N36" s="441">
        <f>'Market Data'!$Y$52*'Mkt Pen Veh-Mi'!N36</f>
        <v>3.727814045531018E-2</v>
      </c>
      <c r="O36" s="442">
        <f>'Market Data'!$Y$52*'Mkt Pen Veh-Mi'!O36</f>
        <v>1.6282784018003069E-2</v>
      </c>
      <c r="P36" s="442">
        <f>'Market Data'!$Y$52*'Mkt Pen Veh-Mi'!P36</f>
        <v>2.2052988189403256E-2</v>
      </c>
      <c r="Q36" s="800">
        <f>'Market Data'!$Y$52*'Mkt Pen Veh-Mi'!Q36</f>
        <v>1.2520743740017106E-2</v>
      </c>
      <c r="R36" s="800">
        <f>'Market Data'!$Y$52*'Mkt Pen Veh-Mi'!R36</f>
        <v>1.5437508848447118E-3</v>
      </c>
      <c r="S36" s="805">
        <f>'Market Data'!$Y$52*'Mkt Pen Veh-Mi'!S36</f>
        <v>0</v>
      </c>
      <c r="T36" s="441">
        <f t="shared" si="6"/>
        <v>9.4606703090409097E-2</v>
      </c>
      <c r="U36" s="443">
        <f t="shared" si="8"/>
        <v>0.90539329690959081</v>
      </c>
    </row>
    <row r="37" spans="1:21" ht="15" x14ac:dyDescent="0.25">
      <c r="A37" s="420">
        <v>2035</v>
      </c>
      <c r="B37" s="444">
        <f>'Market Data'!$E$52*'Mkt Pen Veh-Mi'!B37</f>
        <v>1.3329920631162066E-2</v>
      </c>
      <c r="C37" s="445">
        <f>'Market Data'!$E$52*'Mkt Pen Veh-Mi'!C37</f>
        <v>0.23871252597905276</v>
      </c>
      <c r="D37" s="445">
        <f>'Market Data'!$E$52*'Mkt Pen Veh-Mi'!D37</f>
        <v>0.23771341740327395</v>
      </c>
      <c r="E37" s="801">
        <f>'Market Data'!$E$52*'Mkt Pen Veh-Mi'!E37</f>
        <v>0.17867338372643771</v>
      </c>
      <c r="F37" s="801">
        <f>'Market Data'!$E$52*'Mkt Pen Veh-Mi'!F37</f>
        <v>0</v>
      </c>
      <c r="G37" s="806">
        <f>'Market Data'!$E$52*'Mkt Pen Veh-Mi'!G37</f>
        <v>0</v>
      </c>
      <c r="H37" s="444">
        <f>'Market Data'!$O$52*'Mkt Pen Veh-Mi'!H37</f>
        <v>4.0769805893376025E-2</v>
      </c>
      <c r="I37" s="445">
        <f>'Market Data'!$O$52*'Mkt Pen Veh-Mi'!I37</f>
        <v>9.3861088222587111E-2</v>
      </c>
      <c r="J37" s="445">
        <f>'Market Data'!$O$52*'Mkt Pen Veh-Mi'!J37</f>
        <v>9.3431614357660897E-2</v>
      </c>
      <c r="K37" s="801">
        <f>'Market Data'!$O$52*'Mkt Pen Veh-Mi'!K37</f>
        <v>1.3829836498871049E-2</v>
      </c>
      <c r="L37" s="801">
        <f>'Market Data'!$O$52*'Mkt Pen Veh-Mi'!L37</f>
        <v>0</v>
      </c>
      <c r="M37" s="806">
        <f>'Market Data'!$O$52*'Mkt Pen Veh-Mi'!M37</f>
        <v>0</v>
      </c>
      <c r="N37" s="444">
        <f>'Market Data'!$Y$52*'Mkt Pen Veh-Mi'!N37</f>
        <v>3.7274052902654634E-2</v>
      </c>
      <c r="O37" s="445">
        <f>'Market Data'!$Y$52*'Mkt Pen Veh-Mi'!O37</f>
        <v>1.6167990524694347E-2</v>
      </c>
      <c r="P37" s="445">
        <f>'Market Data'!$Y$52*'Mkt Pen Veh-Mi'!P37</f>
        <v>2.1795971795820143E-2</v>
      </c>
      <c r="Q37" s="801">
        <f>'Market Data'!$Y$52*'Mkt Pen Veh-Mi'!Q37</f>
        <v>1.2421740691715527E-2</v>
      </c>
      <c r="R37" s="801">
        <f>'Market Data'!$Y$52*'Mkt Pen Veh-Mi'!R37</f>
        <v>2.0171069817201109E-3</v>
      </c>
      <c r="S37" s="806">
        <f>'Market Data'!$Y$52*'Mkt Pen Veh-Mi'!S37</f>
        <v>1.5443909735505532E-6</v>
      </c>
      <c r="T37" s="444">
        <f t="shared" si="6"/>
        <v>9.1373779427192714E-2</v>
      </c>
      <c r="U37" s="446">
        <f t="shared" si="8"/>
        <v>0.90862622057280706</v>
      </c>
    </row>
    <row r="38" spans="1:21" ht="15" x14ac:dyDescent="0.25">
      <c r="A38" s="447">
        <v>2036</v>
      </c>
      <c r="B38" s="448">
        <f>'Market Data'!$E$52*'Mkt Pen Veh-Mi'!B38</f>
        <v>1.2964476121860849E-2</v>
      </c>
      <c r="C38" s="449">
        <f>'Market Data'!$E$52*'Mkt Pen Veh-Mi'!C38</f>
        <v>0.23804886348555004</v>
      </c>
      <c r="D38" s="449">
        <f>'Market Data'!$E$52*'Mkt Pen Veh-Mi'!D38</f>
        <v>0.23701954824998855</v>
      </c>
      <c r="E38" s="802">
        <f>'Market Data'!$E$52*'Mkt Pen Veh-Mi'!E38</f>
        <v>0.18037897301978756</v>
      </c>
      <c r="F38" s="802">
        <f>'Market Data'!$E$52*'Mkt Pen Veh-Mi'!F38</f>
        <v>1.7386862739515834E-5</v>
      </c>
      <c r="G38" s="807">
        <f>'Market Data'!$E$52*'Mkt Pen Veh-Mi'!G38</f>
        <v>0</v>
      </c>
      <c r="H38" s="448">
        <f>'Market Data'!$O$52*'Mkt Pen Veh-Mi'!H38</f>
        <v>4.0306813017776062E-2</v>
      </c>
      <c r="I38" s="449">
        <f>'Market Data'!$O$52*'Mkt Pen Veh-Mi'!I38</f>
        <v>9.2464118976569018E-2</v>
      </c>
      <c r="J38" s="449">
        <f>'Market Data'!$O$52*'Mkt Pen Veh-Mi'!J38</f>
        <v>9.2422687246009036E-2</v>
      </c>
      <c r="K38" s="802">
        <f>'Market Data'!$O$52*'Mkt Pen Veh-Mi'!K38</f>
        <v>1.6698518253007746E-2</v>
      </c>
      <c r="L38" s="802">
        <f>'Market Data'!$O$52*'Mkt Pen Veh-Mi'!L38</f>
        <v>0</v>
      </c>
      <c r="M38" s="807">
        <f>'Market Data'!$O$52*'Mkt Pen Veh-Mi'!M38</f>
        <v>2.0747913324941873E-7</v>
      </c>
      <c r="N38" s="448">
        <f>'Market Data'!$Y$52*'Mkt Pen Veh-Mi'!N38</f>
        <v>3.7173486247940056E-2</v>
      </c>
      <c r="O38" s="449">
        <f>'Market Data'!$Y$52*'Mkt Pen Veh-Mi'!O38</f>
        <v>1.6583479088943233E-2</v>
      </c>
      <c r="P38" s="449">
        <f>'Market Data'!$Y$52*'Mkt Pen Veh-Mi'!P38</f>
        <v>2.166942180339794E-2</v>
      </c>
      <c r="Q38" s="802">
        <f>'Market Data'!$Y$52*'Mkt Pen Veh-Mi'!Q38</f>
        <v>1.2048281899038395E-2</v>
      </c>
      <c r="R38" s="802">
        <f>'Market Data'!$Y$52*'Mkt Pen Veh-Mi'!R38</f>
        <v>2.196369688432493E-3</v>
      </c>
      <c r="S38" s="807">
        <f>'Market Data'!$Y$52*'Mkt Pen Veh-Mi'!S38</f>
        <v>7.3685598261960727E-6</v>
      </c>
      <c r="T38" s="451">
        <f t="shared" si="6"/>
        <v>9.0444775387576976E-2</v>
      </c>
      <c r="U38" s="452">
        <f t="shared" si="8"/>
        <v>0.909555224612423</v>
      </c>
    </row>
    <row r="39" spans="1:21" ht="15" x14ac:dyDescent="0.25">
      <c r="A39" s="421">
        <v>2037</v>
      </c>
      <c r="B39" s="441">
        <f>'Market Data'!$E$52*'Mkt Pen Veh-Mi'!B39</f>
        <v>1.29619303791667E-2</v>
      </c>
      <c r="C39" s="442">
        <f>'Market Data'!$E$52*'Mkt Pen Veh-Mi'!C39</f>
        <v>0.23810642635767262</v>
      </c>
      <c r="D39" s="442">
        <f>'Market Data'!$E$52*'Mkt Pen Veh-Mi'!D39</f>
        <v>0.23707689877579985</v>
      </c>
      <c r="E39" s="800">
        <f>'Market Data'!$E$52*'Mkt Pen Veh-Mi'!E39</f>
        <v>0.1802280410029248</v>
      </c>
      <c r="F39" s="800">
        <f>'Market Data'!$E$52*'Mkt Pen Veh-Mi'!F39</f>
        <v>5.5917531968333154E-5</v>
      </c>
      <c r="G39" s="805">
        <f>'Market Data'!$E$52*'Mkt Pen Veh-Mi'!G39</f>
        <v>3.3692394230190158E-8</v>
      </c>
      <c r="H39" s="441">
        <f>'Market Data'!$O$52*'Mkt Pen Veh-Mi'!H39</f>
        <v>4.0306030084935926E-2</v>
      </c>
      <c r="I39" s="442">
        <f>'Market Data'!$O$52*'Mkt Pen Veh-Mi'!I39</f>
        <v>9.1227232536074052E-2</v>
      </c>
      <c r="J39" s="442">
        <f>'Market Data'!$O$52*'Mkt Pen Veh-Mi'!J39</f>
        <v>9.1186355035049835E-2</v>
      </c>
      <c r="K39" s="800">
        <f>'Market Data'!$O$52*'Mkt Pen Veh-Mi'!K39</f>
        <v>1.7875660739901034E-2</v>
      </c>
      <c r="L39" s="800">
        <f>'Market Data'!$O$52*'Mkt Pen Veh-Mi'!L39</f>
        <v>0</v>
      </c>
      <c r="M39" s="805">
        <f>'Market Data'!$O$52*'Mkt Pen Veh-Mi'!M39</f>
        <v>1.2970665765342604E-3</v>
      </c>
      <c r="N39" s="441">
        <f>'Market Data'!$Y$52*'Mkt Pen Veh-Mi'!N39</f>
        <v>3.717293193124914E-2</v>
      </c>
      <c r="O39" s="442">
        <f>'Market Data'!$Y$52*'Mkt Pen Veh-Mi'!O39</f>
        <v>1.6455607803415009E-2</v>
      </c>
      <c r="P39" s="442">
        <f>'Market Data'!$Y$52*'Mkt Pen Veh-Mi'!P39</f>
        <v>2.1756150234425682E-2</v>
      </c>
      <c r="Q39" s="800">
        <f>'Market Data'!$Y$52*'Mkt Pen Veh-Mi'!Q39</f>
        <v>1.2069346838711551E-2</v>
      </c>
      <c r="R39" s="800">
        <f>'Market Data'!$Y$52*'Mkt Pen Veh-Mi'!R39</f>
        <v>2.2133963217565093E-3</v>
      </c>
      <c r="S39" s="805">
        <f>'Market Data'!$Y$52*'Mkt Pen Veh-Mi'!S39</f>
        <v>1.0974158020413703E-5</v>
      </c>
      <c r="T39" s="441">
        <f t="shared" si="6"/>
        <v>9.0440892395351774E-2</v>
      </c>
      <c r="U39" s="443">
        <f t="shared" si="8"/>
        <v>0.9095591076046482</v>
      </c>
    </row>
    <row r="40" spans="1:21" ht="15" x14ac:dyDescent="0.25">
      <c r="A40" s="421">
        <v>2038</v>
      </c>
      <c r="B40" s="441">
        <f>'Market Data'!$E$52*'Mkt Pen Veh-Mi'!B40</f>
        <v>1.2440550109934738E-2</v>
      </c>
      <c r="C40" s="442">
        <f>'Market Data'!$E$52*'Mkt Pen Veh-Mi'!C40</f>
        <v>0.23841864075705746</v>
      </c>
      <c r="D40" s="442">
        <f>'Market Data'!$E$52*'Mkt Pen Veh-Mi'!D40</f>
        <v>0.23720411656815524</v>
      </c>
      <c r="E40" s="800">
        <f>'Market Data'!$E$52*'Mkt Pen Veh-Mi'!E40</f>
        <v>0.18012492200268362</v>
      </c>
      <c r="F40" s="800">
        <f>'Market Data'!$E$52*'Mkt Pen Veh-Mi'!F40</f>
        <v>2.2989198173013715E-4</v>
      </c>
      <c r="G40" s="805">
        <f>'Market Data'!$E$52*'Mkt Pen Veh-Mi'!G40</f>
        <v>1.1126320365326669E-5</v>
      </c>
      <c r="H40" s="441">
        <f>'Market Data'!$O$52*'Mkt Pen Veh-Mi'!H40</f>
        <v>4.0305742058510077E-2</v>
      </c>
      <c r="I40" s="442">
        <f>'Market Data'!$O$52*'Mkt Pen Veh-Mi'!I40</f>
        <v>8.4667226724391892E-2</v>
      </c>
      <c r="J40" s="442">
        <f>'Market Data'!$O$52*'Mkt Pen Veh-Mi'!J40</f>
        <v>8.4629288659727131E-2</v>
      </c>
      <c r="K40" s="800">
        <f>'Market Data'!$O$52*'Mkt Pen Veh-Mi'!K40</f>
        <v>1.9211564155568354E-2</v>
      </c>
      <c r="L40" s="800">
        <f>'Market Data'!$O$52*'Mkt Pen Veh-Mi'!L40</f>
        <v>0</v>
      </c>
      <c r="M40" s="805">
        <f>'Market Data'!$O$52*'Mkt Pen Veh-Mi'!M40</f>
        <v>1.3078523374297641E-2</v>
      </c>
      <c r="N40" s="441">
        <f>'Market Data'!$Y$52*'Mkt Pen Veh-Mi'!N40</f>
        <v>3.715752673271483E-2</v>
      </c>
      <c r="O40" s="442">
        <f>'Market Data'!$Y$52*'Mkt Pen Veh-Mi'!O40</f>
        <v>1.645231769840147E-2</v>
      </c>
      <c r="P40" s="442">
        <f>'Market Data'!$Y$52*'Mkt Pen Veh-Mi'!P40</f>
        <v>2.1541667066034945E-2</v>
      </c>
      <c r="Q40" s="800">
        <f>'Market Data'!$Y$52*'Mkt Pen Veh-Mi'!Q40</f>
        <v>1.206717464317641E-2</v>
      </c>
      <c r="R40" s="800">
        <f>'Market Data'!$Y$52*'Mkt Pen Veh-Mi'!R40</f>
        <v>2.4236958480755694E-3</v>
      </c>
      <c r="S40" s="805">
        <f>'Market Data'!$Y$52*'Mkt Pen Veh-Mi'!S40</f>
        <v>3.6025299175078728E-5</v>
      </c>
      <c r="T40" s="441">
        <f t="shared" si="6"/>
        <v>8.9903818901159643E-2</v>
      </c>
      <c r="U40" s="443">
        <f t="shared" si="8"/>
        <v>0.91009618109884038</v>
      </c>
    </row>
    <row r="41" spans="1:21" ht="15" x14ac:dyDescent="0.25">
      <c r="A41" s="421">
        <v>2039</v>
      </c>
      <c r="B41" s="441">
        <f>'Market Data'!$E$52*'Mkt Pen Veh-Mi'!B41</f>
        <v>1.2309207681126061E-2</v>
      </c>
      <c r="C41" s="442">
        <f>'Market Data'!$E$52*'Mkt Pen Veh-Mi'!C41</f>
        <v>0.23668023741946334</v>
      </c>
      <c r="D41" s="442">
        <f>'Market Data'!$E$52*'Mkt Pen Veh-Mi'!D41</f>
        <v>0.23539433897076589</v>
      </c>
      <c r="E41" s="800">
        <f>'Market Data'!$E$52*'Mkt Pen Veh-Mi'!E41</f>
        <v>0.17911738744831177</v>
      </c>
      <c r="F41" s="800">
        <f>'Market Data'!$E$52*'Mkt Pen Veh-Mi'!F41</f>
        <v>6.9961843499340062E-4</v>
      </c>
      <c r="G41" s="805">
        <f>'Market Data'!$E$52*'Mkt Pen Veh-Mi'!G41</f>
        <v>4.2284577852660715E-3</v>
      </c>
      <c r="H41" s="441">
        <f>'Market Data'!$O$52*'Mkt Pen Veh-Mi'!H41</f>
        <v>3.9857860867028451E-2</v>
      </c>
      <c r="I41" s="442">
        <f>'Market Data'!$O$52*'Mkt Pen Veh-Mi'!I41</f>
        <v>7.7514815804147888E-2</v>
      </c>
      <c r="J41" s="442">
        <f>'Market Data'!$O$52*'Mkt Pen Veh-Mi'!J41</f>
        <v>7.7422205962680068E-2</v>
      </c>
      <c r="K41" s="800">
        <f>'Market Data'!$O$52*'Mkt Pen Veh-Mi'!K41</f>
        <v>2.1685398930904713E-2</v>
      </c>
      <c r="L41" s="800">
        <f>'Market Data'!$O$52*'Mkt Pen Veh-Mi'!L41</f>
        <v>0</v>
      </c>
      <c r="M41" s="805">
        <f>'Market Data'!$O$52*'Mkt Pen Veh-Mi'!M41</f>
        <v>2.5412063407733977E-2</v>
      </c>
      <c r="N41" s="441">
        <f>'Market Data'!$Y$52*'Mkt Pen Veh-Mi'!N41</f>
        <v>3.6721097066541766E-2</v>
      </c>
      <c r="O41" s="442">
        <f>'Market Data'!$Y$52*'Mkt Pen Veh-Mi'!O41</f>
        <v>1.6367744058845318E-2</v>
      </c>
      <c r="P41" s="442">
        <f>'Market Data'!$Y$52*'Mkt Pen Veh-Mi'!P41</f>
        <v>2.1701366557854804E-2</v>
      </c>
      <c r="Q41" s="800">
        <f>'Market Data'!$Y$52*'Mkt Pen Veh-Mi'!Q41</f>
        <v>1.2148705517726016E-2</v>
      </c>
      <c r="R41" s="800">
        <f>'Market Data'!$Y$52*'Mkt Pen Veh-Mi'!R41</f>
        <v>2.6425862267884098E-3</v>
      </c>
      <c r="S41" s="805">
        <f>'Market Data'!$Y$52*'Mkt Pen Veh-Mi'!S41</f>
        <v>9.6907859821998972E-5</v>
      </c>
      <c r="T41" s="441">
        <f t="shared" si="6"/>
        <v>8.8888165614696285E-2</v>
      </c>
      <c r="U41" s="443">
        <f t="shared" si="8"/>
        <v>0.91111183438530363</v>
      </c>
    </row>
    <row r="42" spans="1:21" ht="15" x14ac:dyDescent="0.25">
      <c r="A42" s="420">
        <v>2040</v>
      </c>
      <c r="B42" s="444">
        <f>'Market Data'!$E$52*'Mkt Pen Veh-Mi'!B42</f>
        <v>1.2223589341534696E-2</v>
      </c>
      <c r="C42" s="445">
        <f>'Market Data'!$E$52*'Mkt Pen Veh-Mi'!C42</f>
        <v>0.23175633638692841</v>
      </c>
      <c r="D42" s="445">
        <f>'Market Data'!$E$52*'Mkt Pen Veh-Mi'!D42</f>
        <v>0.23044076817599132</v>
      </c>
      <c r="E42" s="801">
        <f>'Market Data'!$E$52*'Mkt Pen Veh-Mi'!E42</f>
        <v>0.17655664848295011</v>
      </c>
      <c r="F42" s="801">
        <f>'Market Data'!$E$52*'Mkt Pen Veh-Mi'!F42</f>
        <v>1.8740839583597712E-3</v>
      </c>
      <c r="G42" s="806">
        <f>'Market Data'!$E$52*'Mkt Pen Veh-Mi'!G42</f>
        <v>1.5577821394162195E-2</v>
      </c>
      <c r="H42" s="444">
        <f>'Market Data'!$O$52*'Mkt Pen Veh-Mi'!H42</f>
        <v>3.9720301383134392E-2</v>
      </c>
      <c r="I42" s="445">
        <f>'Market Data'!$O$52*'Mkt Pen Veh-Mi'!I42</f>
        <v>7.2644309789540479E-2</v>
      </c>
      <c r="J42" s="445">
        <f>'Market Data'!$O$52*'Mkt Pen Veh-Mi'!J42</f>
        <v>7.2540009204864267E-2</v>
      </c>
      <c r="K42" s="801">
        <f>'Market Data'!$O$52*'Mkt Pen Veh-Mi'!K42</f>
        <v>2.555426796720878E-2</v>
      </c>
      <c r="L42" s="801">
        <f>'Market Data'!$O$52*'Mkt Pen Veh-Mi'!L42</f>
        <v>0</v>
      </c>
      <c r="M42" s="806">
        <f>'Market Data'!$O$52*'Mkt Pen Veh-Mi'!M42</f>
        <v>3.1433456627747172E-2</v>
      </c>
      <c r="N42" s="444">
        <f>'Market Data'!$Y$52*'Mkt Pen Veh-Mi'!N42</f>
        <v>3.5926817664788148E-2</v>
      </c>
      <c r="O42" s="445">
        <f>'Market Data'!$Y$52*'Mkt Pen Veh-Mi'!O42</f>
        <v>1.6387422330095942E-2</v>
      </c>
      <c r="P42" s="445">
        <f>'Market Data'!$Y$52*'Mkt Pen Veh-Mi'!P42</f>
        <v>2.2106966572883885E-2</v>
      </c>
      <c r="Q42" s="801">
        <f>'Market Data'!$Y$52*'Mkt Pen Veh-Mi'!Q42</f>
        <v>1.2046826560194054E-2</v>
      </c>
      <c r="R42" s="801">
        <f>'Market Data'!$Y$52*'Mkt Pen Veh-Mi'!R42</f>
        <v>2.9374928286397383E-3</v>
      </c>
      <c r="S42" s="806">
        <f>'Market Data'!$Y$52*'Mkt Pen Veh-Mi'!S42</f>
        <v>2.7288133097653035E-4</v>
      </c>
      <c r="T42" s="444">
        <f t="shared" si="6"/>
        <v>8.7870708389457236E-2</v>
      </c>
      <c r="U42" s="446">
        <f t="shared" si="8"/>
        <v>0.91212929161054257</v>
      </c>
    </row>
    <row r="43" spans="1:21" ht="15" x14ac:dyDescent="0.25">
      <c r="A43" s="421">
        <v>2041</v>
      </c>
      <c r="B43" s="448">
        <f>'Market Data'!$E$52*'Mkt Pen Veh-Mi'!B43</f>
        <v>1.2223542661823817E-2</v>
      </c>
      <c r="C43" s="449">
        <f>'Market Data'!$E$52*'Mkt Pen Veh-Mi'!C43</f>
        <v>0.22755809715747446</v>
      </c>
      <c r="D43" s="449">
        <f>'Market Data'!$E$52*'Mkt Pen Veh-Mi'!D43</f>
        <v>0.22625450441977643</v>
      </c>
      <c r="E43" s="802">
        <f>'Market Data'!$E$52*'Mkt Pen Veh-Mi'!E43</f>
        <v>0.17312450292664908</v>
      </c>
      <c r="F43" s="802">
        <f>'Market Data'!$E$52*'Mkt Pen Veh-Mi'!F43</f>
        <v>4.4534848702478466E-3</v>
      </c>
      <c r="G43" s="807">
        <f>'Market Data'!$E$52*'Mkt Pen Veh-Mi'!G43</f>
        <v>2.4815115703954876E-2</v>
      </c>
      <c r="H43" s="448">
        <f>'Market Data'!$O$52*'Mkt Pen Veh-Mi'!H43</f>
        <v>3.9720287001465432E-2</v>
      </c>
      <c r="I43" s="449">
        <f>'Market Data'!$O$52*'Mkt Pen Veh-Mi'!I43</f>
        <v>6.8845852119145956E-2</v>
      </c>
      <c r="J43" s="449">
        <f>'Market Data'!$O$52*'Mkt Pen Veh-Mi'!J43</f>
        <v>6.8743357170968092E-2</v>
      </c>
      <c r="K43" s="802">
        <f>'Market Data'!$O$52*'Mkt Pen Veh-Mi'!K43</f>
        <v>2.9975745580918894E-2</v>
      </c>
      <c r="L43" s="802">
        <f>'Market Data'!$O$52*'Mkt Pen Veh-Mi'!L43</f>
        <v>0</v>
      </c>
      <c r="M43" s="807">
        <f>'Market Data'!$O$52*'Mkt Pen Veh-Mi'!M43</f>
        <v>3.4607103099996706E-2</v>
      </c>
      <c r="N43" s="448">
        <f>'Market Data'!$Y$52*'Mkt Pen Veh-Mi'!N43</f>
        <v>3.5731741839914961E-2</v>
      </c>
      <c r="O43" s="449">
        <f>'Market Data'!$Y$52*'Mkt Pen Veh-Mi'!O43</f>
        <v>1.6145559263635253E-2</v>
      </c>
      <c r="P43" s="449">
        <f>'Market Data'!$Y$52*'Mkt Pen Veh-Mi'!P43</f>
        <v>2.1912217643085544E-2</v>
      </c>
      <c r="Q43" s="802">
        <f>'Market Data'!$Y$52*'Mkt Pen Veh-Mi'!Q43</f>
        <v>1.1835673444606972E-2</v>
      </c>
      <c r="R43" s="802">
        <f>'Market Data'!$Y$52*'Mkt Pen Veh-Mi'!R43</f>
        <v>3.4224475154918457E-3</v>
      </c>
      <c r="S43" s="807">
        <f>'Market Data'!$Y$52*'Mkt Pen Veh-Mi'!S43</f>
        <v>6.3076758084373093E-4</v>
      </c>
      <c r="T43" s="451">
        <f t="shared" si="6"/>
        <v>8.7675571503204208E-2</v>
      </c>
      <c r="U43" s="452">
        <f t="shared" si="8"/>
        <v>0.91232442849679574</v>
      </c>
    </row>
    <row r="44" spans="1:21" ht="15" x14ac:dyDescent="0.25">
      <c r="A44" s="421">
        <v>2042</v>
      </c>
      <c r="B44" s="441">
        <f>'Market Data'!$E$52*'Mkt Pen Veh-Mi'!B44</f>
        <v>1.2223525489316215E-2</v>
      </c>
      <c r="C44" s="442">
        <f>'Market Data'!$E$52*'Mkt Pen Veh-Mi'!C44</f>
        <v>0.22216836239678017</v>
      </c>
      <c r="D44" s="442">
        <f>'Market Data'!$E$52*'Mkt Pen Veh-Mi'!D44</f>
        <v>0.22094171856937594</v>
      </c>
      <c r="E44" s="800">
        <f>'Market Data'!$E$52*'Mkt Pen Veh-Mi'!E44</f>
        <v>0.16874660965908758</v>
      </c>
      <c r="F44" s="800">
        <f>'Market Data'!$E$52*'Mkt Pen Veh-Mi'!F44</f>
        <v>1.3025501301343504E-2</v>
      </c>
      <c r="G44" s="805">
        <f>'Market Data'!$E$52*'Mkt Pen Veh-Mi'!G44</f>
        <v>3.1323530324023179E-2</v>
      </c>
      <c r="H44" s="441">
        <f>'Market Data'!$O$52*'Mkt Pen Veh-Mi'!H44</f>
        <v>3.8043374415765351E-2</v>
      </c>
      <c r="I44" s="442">
        <f>'Market Data'!$O$52*'Mkt Pen Veh-Mi'!I44</f>
        <v>6.5821011109479577E-2</v>
      </c>
      <c r="J44" s="442">
        <f>'Market Data'!$O$52*'Mkt Pen Veh-Mi'!J44</f>
        <v>6.5576844444499072E-2</v>
      </c>
      <c r="K44" s="800">
        <f>'Market Data'!$O$52*'Mkt Pen Veh-Mi'!K44</f>
        <v>3.6290563220019827E-2</v>
      </c>
      <c r="L44" s="800">
        <f>'Market Data'!$O$52*'Mkt Pen Veh-Mi'!L44</f>
        <v>7.2716182088186234E-6</v>
      </c>
      <c r="M44" s="805">
        <f>'Market Data'!$O$52*'Mkt Pen Veh-Mi'!M44</f>
        <v>3.6153280164522496E-2</v>
      </c>
      <c r="N44" s="441">
        <f>'Market Data'!$Y$52*'Mkt Pen Veh-Mi'!N44</f>
        <v>3.5492290533632669E-2</v>
      </c>
      <c r="O44" s="442">
        <f>'Market Data'!$Y$52*'Mkt Pen Veh-Mi'!O44</f>
        <v>1.5660398427855406E-2</v>
      </c>
      <c r="P44" s="442">
        <f>'Market Data'!$Y$52*'Mkt Pen Veh-Mi'!P44</f>
        <v>2.1410880951355973E-2</v>
      </c>
      <c r="Q44" s="800">
        <f>'Market Data'!$Y$52*'Mkt Pen Veh-Mi'!Q44</f>
        <v>1.1672679126160332E-2</v>
      </c>
      <c r="R44" s="800">
        <f>'Market Data'!$Y$52*'Mkt Pen Veh-Mi'!R44</f>
        <v>4.1394884489218756E-3</v>
      </c>
      <c r="S44" s="805">
        <f>'Market Data'!$Y$52*'Mkt Pen Veh-Mi'!S44</f>
        <v>1.3026697996520572E-3</v>
      </c>
      <c r="T44" s="441">
        <f t="shared" si="6"/>
        <v>8.5759190438714245E-2</v>
      </c>
      <c r="U44" s="443">
        <f t="shared" si="8"/>
        <v>0.91424080956128584</v>
      </c>
    </row>
    <row r="45" spans="1:21" ht="15" x14ac:dyDescent="0.25">
      <c r="A45" s="421">
        <v>2043</v>
      </c>
      <c r="B45" s="441">
        <f>'Market Data'!$E$52*'Mkt Pen Veh-Mi'!B45</f>
        <v>1.2223519171903318E-2</v>
      </c>
      <c r="C45" s="442">
        <f>'Market Data'!$E$52*'Mkt Pen Veh-Mi'!C45</f>
        <v>0.21431659991106558</v>
      </c>
      <c r="D45" s="442">
        <f>'Market Data'!$E$52*'Mkt Pen Veh-Mi'!D45</f>
        <v>0.21312003048875142</v>
      </c>
      <c r="E45" s="800">
        <f>'Market Data'!$E$52*'Mkt Pen Veh-Mi'!E45</f>
        <v>0.1623766202027451</v>
      </c>
      <c r="F45" s="800">
        <f>'Market Data'!$E$52*'Mkt Pen Veh-Mi'!F45</f>
        <v>3.1663335912289113E-2</v>
      </c>
      <c r="G45" s="805">
        <f>'Market Data'!$E$52*'Mkt Pen Veh-Mi'!G45</f>
        <v>3.4729142053171923E-2</v>
      </c>
      <c r="H45" s="441">
        <f>'Market Data'!$O$52*'Mkt Pen Veh-Mi'!H45</f>
        <v>3.2287153317388441E-2</v>
      </c>
      <c r="I45" s="442">
        <f>'Market Data'!$O$52*'Mkt Pen Veh-Mi'!I45</f>
        <v>6.4274279579202773E-2</v>
      </c>
      <c r="J45" s="442">
        <f>'Market Data'!$O$52*'Mkt Pen Veh-Mi'!J45</f>
        <v>6.4035138050880694E-2</v>
      </c>
      <c r="K45" s="800">
        <f>'Market Data'!$O$52*'Mkt Pen Veh-Mi'!K45</f>
        <v>4.2613044413852573E-2</v>
      </c>
      <c r="L45" s="800">
        <f>'Market Data'!$O$52*'Mkt Pen Veh-Mi'!L45</f>
        <v>3.6504678570129586E-4</v>
      </c>
      <c r="M45" s="805">
        <f>'Market Data'!$O$52*'Mkt Pen Veh-Mi'!M45</f>
        <v>3.8317682825469331E-2</v>
      </c>
      <c r="N45" s="441">
        <f>'Market Data'!$Y$52*'Mkt Pen Veh-Mi'!N45</f>
        <v>3.549228911561466E-2</v>
      </c>
      <c r="O45" s="442">
        <f>'Market Data'!$Y$52*'Mkt Pen Veh-Mi'!O45</f>
        <v>1.5009040006667368E-2</v>
      </c>
      <c r="P45" s="442">
        <f>'Market Data'!$Y$52*'Mkt Pen Veh-Mi'!P45</f>
        <v>2.0574679229033544E-2</v>
      </c>
      <c r="Q45" s="800">
        <f>'Market Data'!$Y$52*'Mkt Pen Veh-Mi'!Q45</f>
        <v>1.1169369753025436E-2</v>
      </c>
      <c r="R45" s="800">
        <f>'Market Data'!$Y$52*'Mkt Pen Veh-Mi'!R45</f>
        <v>5.14913143540352E-3</v>
      </c>
      <c r="S45" s="805">
        <f>'Market Data'!$Y$52*'Mkt Pen Veh-Mi'!S45</f>
        <v>2.2838977478337845E-3</v>
      </c>
      <c r="T45" s="441">
        <f t="shared" si="6"/>
        <v>8.0002961604906414E-2</v>
      </c>
      <c r="U45" s="443">
        <f t="shared" si="8"/>
        <v>0.91999703839509328</v>
      </c>
    </row>
    <row r="46" spans="1:21" ht="15" x14ac:dyDescent="0.25">
      <c r="A46" s="421">
        <v>2044</v>
      </c>
      <c r="B46" s="441">
        <f>'Market Data'!$E$52*'Mkt Pen Veh-Mi'!B46</f>
        <v>1.2223516847857184E-2</v>
      </c>
      <c r="C46" s="442">
        <f>'Market Data'!$E$52*'Mkt Pen Veh-Mi'!C46</f>
        <v>0.20617417592322113</v>
      </c>
      <c r="D46" s="442">
        <f>'Market Data'!$E$52*'Mkt Pen Veh-Mi'!D46</f>
        <v>0.20495496076516279</v>
      </c>
      <c r="E46" s="800">
        <f>'Market Data'!$E$52*'Mkt Pen Veh-Mi'!E46</f>
        <v>0.15452816294287736</v>
      </c>
      <c r="F46" s="800">
        <f>'Market Data'!$E$52*'Mkt Pen Veh-Mi'!F46</f>
        <v>5.4318200691085373E-2</v>
      </c>
      <c r="G46" s="805">
        <f>'Market Data'!$E$52*'Mkt Pen Veh-Mi'!G46</f>
        <v>3.6230230569722729E-2</v>
      </c>
      <c r="H46" s="441">
        <f>'Market Data'!$O$52*'Mkt Pen Veh-Mi'!H46</f>
        <v>2.7927322671312621E-2</v>
      </c>
      <c r="I46" s="442">
        <f>'Market Data'!$O$52*'Mkt Pen Veh-Mi'!I46</f>
        <v>6.2422900891995273E-2</v>
      </c>
      <c r="J46" s="442">
        <f>'Market Data'!$O$52*'Mkt Pen Veh-Mi'!J46</f>
        <v>6.2313158120122579E-2</v>
      </c>
      <c r="K46" s="800">
        <f>'Market Data'!$O$52*'Mkt Pen Veh-Mi'!K46</f>
        <v>4.8042688832635051E-2</v>
      </c>
      <c r="L46" s="800">
        <f>'Market Data'!$O$52*'Mkt Pen Veh-Mi'!L46</f>
        <v>1.5236049825531153E-3</v>
      </c>
      <c r="M46" s="805">
        <f>'Market Data'!$O$52*'Mkt Pen Veh-Mi'!M46</f>
        <v>3.966266947387647E-2</v>
      </c>
      <c r="N46" s="441">
        <f>'Market Data'!$Y$52*'Mkt Pen Veh-Mi'!N46</f>
        <v>3.5714239899344212E-2</v>
      </c>
      <c r="O46" s="442">
        <f>'Market Data'!$Y$52*'Mkt Pen Veh-Mi'!O46</f>
        <v>1.4288826208734132E-2</v>
      </c>
      <c r="P46" s="442">
        <f>'Market Data'!$Y$52*'Mkt Pen Veh-Mi'!P46</f>
        <v>1.9510127476854135E-2</v>
      </c>
      <c r="Q46" s="800">
        <f>'Market Data'!$Y$52*'Mkt Pen Veh-Mi'!Q46</f>
        <v>1.0446012880728285E-2</v>
      </c>
      <c r="R46" s="800">
        <f>'Market Data'!$Y$52*'Mkt Pen Veh-Mi'!R46</f>
        <v>6.3357379114757405E-3</v>
      </c>
      <c r="S46" s="805">
        <f>'Market Data'!$Y$52*'Mkt Pen Veh-Mi'!S46</f>
        <v>3.3834629104418034E-3</v>
      </c>
      <c r="T46" s="441">
        <f t="shared" si="6"/>
        <v>7.5865079418514017E-2</v>
      </c>
      <c r="U46" s="443">
        <f t="shared" si="8"/>
        <v>0.92413492058148594</v>
      </c>
    </row>
    <row r="47" spans="1:21" ht="15" x14ac:dyDescent="0.25">
      <c r="A47" s="420">
        <v>2045</v>
      </c>
      <c r="B47" s="444">
        <f>'Market Data'!$E$52*'Mkt Pen Veh-Mi'!B47</f>
        <v>1.2223515992888298E-2</v>
      </c>
      <c r="C47" s="445">
        <f>'Market Data'!$E$52*'Mkt Pen Veh-Mi'!C47</f>
        <v>0.19726058727012899</v>
      </c>
      <c r="D47" s="445">
        <f>'Market Data'!$E$52*'Mkt Pen Veh-Mi'!D47</f>
        <v>0.19609202670837722</v>
      </c>
      <c r="E47" s="801">
        <f>'Market Data'!$E$52*'Mkt Pen Veh-Mi'!E47</f>
        <v>0.14900022170371452</v>
      </c>
      <c r="F47" s="801">
        <f>'Market Data'!$E$52*'Mkt Pen Veh-Mi'!F47</f>
        <v>7.5745098150100124E-2</v>
      </c>
      <c r="G47" s="806">
        <f>'Market Data'!$E$52*'Mkt Pen Veh-Mi'!G47</f>
        <v>3.8107797914717384E-2</v>
      </c>
      <c r="H47" s="444">
        <f>'Market Data'!$O$52*'Mkt Pen Veh-Mi'!H47</f>
        <v>2.4606344203947958E-2</v>
      </c>
      <c r="I47" s="445">
        <f>'Market Data'!$O$52*'Mkt Pen Veh-Mi'!I47</f>
        <v>6.1147635558682426E-2</v>
      </c>
      <c r="J47" s="445">
        <f>'Market Data'!$O$52*'Mkt Pen Veh-Mi'!J47</f>
        <v>6.1039890413149021E-2</v>
      </c>
      <c r="K47" s="801">
        <f>'Market Data'!$O$52*'Mkt Pen Veh-Mi'!K47</f>
        <v>5.1676096263931222E-2</v>
      </c>
      <c r="L47" s="801">
        <f>'Market Data'!$O$52*'Mkt Pen Veh-Mi'!L47</f>
        <v>2.895643087071229E-3</v>
      </c>
      <c r="M47" s="806">
        <f>'Market Data'!$O$52*'Mkt Pen Veh-Mi'!M47</f>
        <v>4.0526735445713252E-2</v>
      </c>
      <c r="N47" s="444">
        <f>'Market Data'!$Y$52*'Mkt Pen Veh-Mi'!N47</f>
        <v>3.5492288402047094E-2</v>
      </c>
      <c r="O47" s="445">
        <f>'Market Data'!$Y$52*'Mkt Pen Veh-Mi'!O47</f>
        <v>1.3506818182887096E-2</v>
      </c>
      <c r="P47" s="445">
        <f>'Market Data'!$Y$52*'Mkt Pen Veh-Mi'!P47</f>
        <v>1.8380258159415058E-2</v>
      </c>
      <c r="Q47" s="801">
        <f>'Market Data'!$Y$52*'Mkt Pen Veh-Mi'!Q47</f>
        <v>9.9527848028476331E-3</v>
      </c>
      <c r="R47" s="801">
        <f>'Market Data'!$Y$52*'Mkt Pen Veh-Mi'!R47</f>
        <v>7.5603455325061585E-3</v>
      </c>
      <c r="S47" s="806">
        <f>'Market Data'!$Y$52*'Mkt Pen Veh-Mi'!S47</f>
        <v>4.7859122078752672E-3</v>
      </c>
      <c r="T47" s="444">
        <f t="shared" si="6"/>
        <v>7.2322148598883348E-2</v>
      </c>
      <c r="U47" s="446">
        <f t="shared" si="8"/>
        <v>0.92767785140111658</v>
      </c>
    </row>
    <row r="48" spans="1:21" ht="15" x14ac:dyDescent="0.25">
      <c r="A48" s="421">
        <v>2046</v>
      </c>
      <c r="B48" s="448">
        <f>'Market Data'!$E$52*'Mkt Pen Veh-Mi'!B48</f>
        <v>1.230900746999038E-2</v>
      </c>
      <c r="C48" s="449">
        <f>'Market Data'!$E$52*'Mkt Pen Veh-Mi'!C48</f>
        <v>0.19310992949177638</v>
      </c>
      <c r="D48" s="449">
        <f>'Market Data'!$E$52*'Mkt Pen Veh-Mi'!D48</f>
        <v>0.19199832901557704</v>
      </c>
      <c r="E48" s="802">
        <f>'Market Data'!$E$52*'Mkt Pen Veh-Mi'!E48</f>
        <v>0.14404622275114465</v>
      </c>
      <c r="F48" s="802">
        <f>'Market Data'!$E$52*'Mkt Pen Veh-Mi'!F48</f>
        <v>8.7135447182131162E-2</v>
      </c>
      <c r="G48" s="807">
        <f>'Market Data'!$E$52*'Mkt Pen Veh-Mi'!G48</f>
        <v>3.983031182930695E-2</v>
      </c>
      <c r="H48" s="448">
        <f>'Market Data'!$O$52*'Mkt Pen Veh-Mi'!H48</f>
        <v>2.2394396936201207E-2</v>
      </c>
      <c r="I48" s="449">
        <f>'Market Data'!$O$52*'Mkt Pen Veh-Mi'!I48</f>
        <v>6.0308059842501614E-2</v>
      </c>
      <c r="J48" s="449">
        <f>'Market Data'!$O$52*'Mkt Pen Veh-Mi'!J48</f>
        <v>6.0230814353751487E-2</v>
      </c>
      <c r="K48" s="802">
        <f>'Market Data'!$O$52*'Mkt Pen Veh-Mi'!K48</f>
        <v>5.3901756452555516E-2</v>
      </c>
      <c r="L48" s="802">
        <f>'Market Data'!$O$52*'Mkt Pen Veh-Mi'!L48</f>
        <v>3.9019161756250116E-3</v>
      </c>
      <c r="M48" s="807">
        <f>'Market Data'!$O$52*'Mkt Pen Veh-Mi'!M48</f>
        <v>4.115540121186028E-2</v>
      </c>
      <c r="N48" s="448">
        <f>'Market Data'!$Y$52*'Mkt Pen Veh-Mi'!N48</f>
        <v>3.592680126280965E-2</v>
      </c>
      <c r="O48" s="449">
        <f>'Market Data'!$Y$52*'Mkt Pen Veh-Mi'!O48</f>
        <v>1.2927017264792949E-2</v>
      </c>
      <c r="P48" s="449">
        <f>'Market Data'!$Y$52*'Mkt Pen Veh-Mi'!P48</f>
        <v>1.7475888516359867E-2</v>
      </c>
      <c r="Q48" s="802">
        <f>'Market Data'!$Y$52*'Mkt Pen Veh-Mi'!Q48</f>
        <v>9.617849684670424E-3</v>
      </c>
      <c r="R48" s="802">
        <f>'Market Data'!$Y$52*'Mkt Pen Veh-Mi'!R48</f>
        <v>8.1491344685545673E-3</v>
      </c>
      <c r="S48" s="807">
        <f>'Market Data'!$Y$52*'Mkt Pen Veh-Mi'!S48</f>
        <v>5.5817160903908567E-3</v>
      </c>
      <c r="T48" s="451">
        <f t="shared" si="6"/>
        <v>7.0630205669001245E-2</v>
      </c>
      <c r="U48" s="452">
        <f t="shared" si="8"/>
        <v>0.92936979433099887</v>
      </c>
    </row>
    <row r="49" spans="1:21" ht="15" x14ac:dyDescent="0.25">
      <c r="A49" s="421">
        <v>2047</v>
      </c>
      <c r="B49" s="441">
        <f>'Market Data'!$E$52*'Mkt Pen Veh-Mi'!B49</f>
        <v>1.2440005133901031E-2</v>
      </c>
      <c r="C49" s="442">
        <f>'Market Data'!$E$52*'Mkt Pen Veh-Mi'!C49</f>
        <v>0.18936709425089296</v>
      </c>
      <c r="D49" s="442">
        <f>'Market Data'!$E$52*'Mkt Pen Veh-Mi'!D49</f>
        <v>0.18834598294304705</v>
      </c>
      <c r="E49" s="800">
        <f>'Market Data'!$E$52*'Mkt Pen Veh-Mi'!E49</f>
        <v>0.14114766075571641</v>
      </c>
      <c r="F49" s="800">
        <f>'Market Data'!$E$52*'Mkt Pen Veh-Mi'!F49</f>
        <v>9.4624137570754385E-2</v>
      </c>
      <c r="G49" s="805">
        <f>'Market Data'!$E$52*'Mkt Pen Veh-Mi'!G49</f>
        <v>4.2504367085614649E-2</v>
      </c>
      <c r="H49" s="441">
        <f>'Market Data'!$O$52*'Mkt Pen Veh-Mi'!H49</f>
        <v>2.1058917763885732E-2</v>
      </c>
      <c r="I49" s="442">
        <f>'Market Data'!$O$52*'Mkt Pen Veh-Mi'!I49</f>
        <v>5.9749433455679991E-2</v>
      </c>
      <c r="J49" s="442">
        <f>'Market Data'!$O$52*'Mkt Pen Veh-Mi'!J49</f>
        <v>5.9641746611141806E-2</v>
      </c>
      <c r="K49" s="800">
        <f>'Market Data'!$O$52*'Mkt Pen Veh-Mi'!K49</f>
        <v>5.4974262627379332E-2</v>
      </c>
      <c r="L49" s="800">
        <f>'Market Data'!$O$52*'Mkt Pen Veh-Mi'!L49</f>
        <v>4.6666125580802856E-3</v>
      </c>
      <c r="M49" s="805">
        <f>'Market Data'!$O$52*'Mkt Pen Veh-Mi'!M49</f>
        <v>4.180137195632793E-2</v>
      </c>
      <c r="N49" s="441">
        <f>'Market Data'!$Y$52*'Mkt Pen Veh-Mi'!N49</f>
        <v>3.6721053071172648E-2</v>
      </c>
      <c r="O49" s="442">
        <f>'Market Data'!$Y$52*'Mkt Pen Veh-Mi'!O49</f>
        <v>1.251928839989183E-2</v>
      </c>
      <c r="P49" s="442">
        <f>'Market Data'!$Y$52*'Mkt Pen Veh-Mi'!P49</f>
        <v>1.6520386511756566E-2</v>
      </c>
      <c r="Q49" s="800">
        <f>'Market Data'!$Y$52*'Mkt Pen Veh-Mi'!Q49</f>
        <v>9.2914115166052823E-3</v>
      </c>
      <c r="R49" s="800">
        <f>'Market Data'!$Y$52*'Mkt Pen Veh-Mi'!R49</f>
        <v>8.4961978773118226E-3</v>
      </c>
      <c r="S49" s="805">
        <f>'Market Data'!$Y$52*'Mkt Pen Veh-Mi'!S49</f>
        <v>6.1300699108401534E-3</v>
      </c>
      <c r="T49" s="441">
        <f t="shared" si="6"/>
        <v>7.0219975968959417E-2</v>
      </c>
      <c r="U49" s="443">
        <f t="shared" si="8"/>
        <v>0.92978002403104043</v>
      </c>
    </row>
    <row r="50" spans="1:21" ht="15" x14ac:dyDescent="0.25">
      <c r="A50" s="421">
        <v>2048</v>
      </c>
      <c r="B50" s="441">
        <f>'Market Data'!$E$52*'Mkt Pen Veh-Mi'!B50</f>
        <v>1.2309007469990455E-2</v>
      </c>
      <c r="C50" s="442">
        <f>'Market Data'!$E$52*'Mkt Pen Veh-Mi'!C50</f>
        <v>0.18699542885828768</v>
      </c>
      <c r="D50" s="442">
        <f>'Market Data'!$E$52*'Mkt Pen Veh-Mi'!D50</f>
        <v>0.18592056894814213</v>
      </c>
      <c r="E50" s="800">
        <f>'Market Data'!$E$52*'Mkt Pen Veh-Mi'!E50</f>
        <v>0.13921902983139156</v>
      </c>
      <c r="F50" s="800">
        <f>'Market Data'!$E$52*'Mkt Pen Veh-Mi'!F50</f>
        <v>9.9571373846955649E-2</v>
      </c>
      <c r="G50" s="805">
        <f>'Market Data'!$E$52*'Mkt Pen Veh-Mi'!G50</f>
        <v>4.4413838785159074E-2</v>
      </c>
      <c r="H50" s="441">
        <f>'Market Data'!$O$52*'Mkt Pen Veh-Mi'!H50</f>
        <v>1.8940780650307736E-2</v>
      </c>
      <c r="I50" s="442">
        <f>'Market Data'!$O$52*'Mkt Pen Veh-Mi'!I50</f>
        <v>5.9452805253277612E-2</v>
      </c>
      <c r="J50" s="442">
        <f>'Market Data'!$O$52*'Mkt Pen Veh-Mi'!J50</f>
        <v>5.9345750155416592E-2</v>
      </c>
      <c r="K50" s="800">
        <f>'Market Data'!$O$52*'Mkt Pen Veh-Mi'!K50</f>
        <v>5.5961229698672697E-2</v>
      </c>
      <c r="L50" s="800">
        <f>'Market Data'!$O$52*'Mkt Pen Veh-Mi'!L50</f>
        <v>5.1834146437936502E-3</v>
      </c>
      <c r="M50" s="805">
        <f>'Market Data'!$O$52*'Mkt Pen Veh-Mi'!M50</f>
        <v>4.3008364571026796E-2</v>
      </c>
      <c r="N50" s="441">
        <f>'Market Data'!$Y$52*'Mkt Pen Veh-Mi'!N50</f>
        <v>3.6721053071172662E-2</v>
      </c>
      <c r="O50" s="442">
        <f>'Market Data'!$Y$52*'Mkt Pen Veh-Mi'!O50</f>
        <v>1.2352294800775297E-2</v>
      </c>
      <c r="P50" s="442">
        <f>'Market Data'!$Y$52*'Mkt Pen Veh-Mi'!P50</f>
        <v>1.6276709633969256E-2</v>
      </c>
      <c r="Q50" s="800">
        <f>'Market Data'!$Y$52*'Mkt Pen Veh-Mi'!Q50</f>
        <v>9.1839654721809841E-3</v>
      </c>
      <c r="R50" s="800">
        <f>'Market Data'!$Y$52*'Mkt Pen Veh-Mi'!R50</f>
        <v>8.6281194229160113E-3</v>
      </c>
      <c r="S50" s="805">
        <f>'Market Data'!$Y$52*'Mkt Pen Veh-Mi'!S50</f>
        <v>6.516264886564105E-3</v>
      </c>
      <c r="T50" s="441">
        <f t="shared" si="6"/>
        <v>6.7970841191470843E-2</v>
      </c>
      <c r="U50" s="443">
        <f t="shared" si="8"/>
        <v>0.9320291588085291</v>
      </c>
    </row>
    <row r="51" spans="1:21" ht="15" x14ac:dyDescent="0.25">
      <c r="A51" s="421">
        <v>2049</v>
      </c>
      <c r="B51" s="441">
        <f>'Market Data'!$E$52*'Mkt Pen Veh-Mi'!B51</f>
        <v>1.2440005133901106E-2</v>
      </c>
      <c r="C51" s="442">
        <f>'Market Data'!$E$52*'Mkt Pen Veh-Mi'!C51</f>
        <v>0.18461151272659676</v>
      </c>
      <c r="D51" s="442">
        <f>'Market Data'!$E$52*'Mkt Pen Veh-Mi'!D51</f>
        <v>0.18362022857327426</v>
      </c>
      <c r="E51" s="800">
        <f>'Market Data'!$E$52*'Mkt Pen Veh-Mi'!E51</f>
        <v>0.13611730384881793</v>
      </c>
      <c r="F51" s="800">
        <f>'Market Data'!$E$52*'Mkt Pen Veh-Mi'!F51</f>
        <v>0.10280813221799327</v>
      </c>
      <c r="G51" s="805">
        <f>'Market Data'!$E$52*'Mkt Pen Veh-Mi'!G51</f>
        <v>4.8832065239343227E-2</v>
      </c>
      <c r="H51" s="441">
        <f>'Market Data'!$O$52*'Mkt Pen Veh-Mi'!H51</f>
        <v>1.7579886762071787E-2</v>
      </c>
      <c r="I51" s="442">
        <f>'Market Data'!$O$52*'Mkt Pen Veh-Mi'!I51</f>
        <v>5.9141724709058839E-2</v>
      </c>
      <c r="J51" s="442">
        <f>'Market Data'!$O$52*'Mkt Pen Veh-Mi'!J51</f>
        <v>5.9034775714469342E-2</v>
      </c>
      <c r="K51" s="800">
        <f>'Market Data'!$O$52*'Mkt Pen Veh-Mi'!K51</f>
        <v>5.6212667495688484E-2</v>
      </c>
      <c r="L51" s="800">
        <f>'Market Data'!$O$52*'Mkt Pen Veh-Mi'!L51</f>
        <v>5.572037058310159E-3</v>
      </c>
      <c r="M51" s="805">
        <f>'Market Data'!$O$52*'Mkt Pen Veh-Mi'!M51</f>
        <v>4.4351253232896459E-2</v>
      </c>
      <c r="N51" s="441">
        <f>'Market Data'!$Y$52*'Mkt Pen Veh-Mi'!N51</f>
        <v>3.7157408058048402E-2</v>
      </c>
      <c r="O51" s="442">
        <f>'Market Data'!$Y$52*'Mkt Pen Veh-Mi'!O51</f>
        <v>1.2183845910963911E-2</v>
      </c>
      <c r="P51" s="442">
        <f>'Market Data'!$Y$52*'Mkt Pen Veh-Mi'!P51</f>
        <v>1.5829821518858211E-2</v>
      </c>
      <c r="Q51" s="800">
        <f>'Market Data'!$Y$52*'Mkt Pen Veh-Mi'!Q51</f>
        <v>9.0618800235762569E-3</v>
      </c>
      <c r="R51" s="800">
        <f>'Market Data'!$Y$52*'Mkt Pen Veh-Mi'!R51</f>
        <v>8.7251031532409144E-3</v>
      </c>
      <c r="S51" s="805">
        <f>'Market Data'!$Y$52*'Mkt Pen Veh-Mi'!S51</f>
        <v>6.7203486228906194E-3</v>
      </c>
      <c r="T51" s="441">
        <f t="shared" si="6"/>
        <v>6.7177299954021288E-2</v>
      </c>
      <c r="U51" s="443">
        <f t="shared" si="8"/>
        <v>0.93282270004597856</v>
      </c>
    </row>
    <row r="52" spans="1:21" ht="15.75" thickBot="1" x14ac:dyDescent="0.3">
      <c r="A52" s="422">
        <v>2050</v>
      </c>
      <c r="B52" s="453">
        <f>'Market Data'!$E$52*'Mkt Pen Veh-Mi'!B52</f>
        <v>1.2440005133900957E-2</v>
      </c>
      <c r="C52" s="454">
        <f>'Market Data'!$E$52*'Mkt Pen Veh-Mi'!C52</f>
        <v>0.18289972303810476</v>
      </c>
      <c r="D52" s="454">
        <f>'Market Data'!$E$52*'Mkt Pen Veh-Mi'!D52</f>
        <v>0.18191953245692458</v>
      </c>
      <c r="E52" s="803">
        <f>'Market Data'!$E$52*'Mkt Pen Veh-Mi'!E52</f>
        <v>0.13452246911006335</v>
      </c>
      <c r="F52" s="803">
        <f>'Market Data'!$E$52*'Mkt Pen Veh-Mi'!F52</f>
        <v>0.1052600276952695</v>
      </c>
      <c r="G52" s="808">
        <f>'Market Data'!$E$52*'Mkt Pen Veh-Mi'!G52</f>
        <v>5.1387490305663273E-2</v>
      </c>
      <c r="H52" s="453">
        <f>'Market Data'!$O$52*'Mkt Pen Veh-Mi'!H52</f>
        <v>1.6515925769265548E-2</v>
      </c>
      <c r="I52" s="454">
        <f>'Market Data'!$O$52*'Mkt Pen Veh-Mi'!I52</f>
        <v>5.8963068782254609E-2</v>
      </c>
      <c r="J52" s="454">
        <f>'Market Data'!$O$52*'Mkt Pen Veh-Mi'!J52</f>
        <v>5.8856171077421804E-2</v>
      </c>
      <c r="K52" s="803">
        <f>'Market Data'!$O$52*'Mkt Pen Veh-Mi'!K52</f>
        <v>5.6394195092793621E-2</v>
      </c>
      <c r="L52" s="803">
        <f>'Market Data'!$O$52*'Mkt Pen Veh-Mi'!L52</f>
        <v>5.907654996414667E-3</v>
      </c>
      <c r="M52" s="808">
        <f>'Market Data'!$O$52*'Mkt Pen Veh-Mi'!M52</f>
        <v>4.5255329254344834E-2</v>
      </c>
      <c r="N52" s="453">
        <f>'Market Data'!$Y$52*'Mkt Pen Veh-Mi'!N52</f>
        <v>3.7157408058048423E-2</v>
      </c>
      <c r="O52" s="454">
        <f>'Market Data'!$Y$52*'Mkt Pen Veh-Mi'!O52</f>
        <v>1.2109137019203436E-2</v>
      </c>
      <c r="P52" s="454">
        <f>'Market Data'!$Y$52*'Mkt Pen Veh-Mi'!P52</f>
        <v>1.57252802223889E-2</v>
      </c>
      <c r="Q52" s="803">
        <f>'Market Data'!$Y$52*'Mkt Pen Veh-Mi'!Q52</f>
        <v>9.0117400102079862E-3</v>
      </c>
      <c r="R52" s="803">
        <f>'Market Data'!$Y$52*'Mkt Pen Veh-Mi'!R52</f>
        <v>8.6713379488632374E-3</v>
      </c>
      <c r="S52" s="808">
        <f>'Market Data'!$Y$52*'Mkt Pen Veh-Mi'!S52</f>
        <v>7.0035040288663379E-3</v>
      </c>
      <c r="T52" s="453">
        <f t="shared" si="6"/>
        <v>6.6113338961214935E-2</v>
      </c>
      <c r="U52" s="455">
        <f t="shared" si="8"/>
        <v>0.93388666103878493</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c r="B56" s="417"/>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284"/>
    <col min="2" max="19" width="13.5703125" style="1284" customWidth="1"/>
    <col min="20" max="16384" width="9.140625" style="1284"/>
  </cols>
  <sheetData>
    <row r="1" spans="1:19" ht="15.75" x14ac:dyDescent="0.25">
      <c r="A1" s="1316" t="s">
        <v>322</v>
      </c>
    </row>
    <row r="3" spans="1:19" ht="15.75" thickBot="1" x14ac:dyDescent="0.3"/>
    <row r="4" spans="1:19" x14ac:dyDescent="0.25">
      <c r="A4" s="1285"/>
      <c r="B4" s="1618" t="s">
        <v>258</v>
      </c>
      <c r="C4" s="1619"/>
      <c r="D4" s="1619"/>
      <c r="E4" s="1619"/>
      <c r="F4" s="1619"/>
      <c r="G4" s="1620"/>
      <c r="H4" s="1618" t="s">
        <v>259</v>
      </c>
      <c r="I4" s="1619"/>
      <c r="J4" s="1619"/>
      <c r="K4" s="1619"/>
      <c r="L4" s="1619"/>
      <c r="M4" s="1620"/>
      <c r="N4" s="1618" t="s">
        <v>156</v>
      </c>
      <c r="O4" s="1619"/>
      <c r="P4" s="1619"/>
      <c r="Q4" s="1619"/>
      <c r="R4" s="1619"/>
      <c r="S4" s="1620"/>
    </row>
    <row r="5" spans="1:19" x14ac:dyDescent="0.25">
      <c r="A5" s="1286" t="s">
        <v>321</v>
      </c>
      <c r="B5" s="1624">
        <f>'Market Data'!C49/('Market Data'!E49+'Market Data'!C49)</f>
        <v>0.23038147668861172</v>
      </c>
      <c r="C5" s="1625"/>
      <c r="D5" s="1625"/>
      <c r="E5" s="1625"/>
      <c r="F5" s="1625"/>
      <c r="G5" s="1626"/>
      <c r="H5" s="1624">
        <f>'Market Data'!M49/('Market Data'!M49+'Market Data'!O49)</f>
        <v>0.61452169476443286</v>
      </c>
      <c r="I5" s="1625"/>
      <c r="J5" s="1625"/>
      <c r="K5" s="1625"/>
      <c r="L5" s="1625"/>
      <c r="M5" s="1626"/>
      <c r="N5" s="1624">
        <f>'Market Data'!W49/('Market Data'!W49+'Market Data'!Y49)</f>
        <v>0.39932829612730575</v>
      </c>
      <c r="O5" s="1625"/>
      <c r="P5" s="1625"/>
      <c r="Q5" s="1625"/>
      <c r="R5" s="1625"/>
      <c r="S5" s="1626"/>
    </row>
    <row r="6" spans="1:19" x14ac:dyDescent="0.25">
      <c r="A6" s="1286"/>
      <c r="B6" s="1621" t="s">
        <v>129</v>
      </c>
      <c r="C6" s="1622"/>
      <c r="D6" s="1622"/>
      <c r="E6" s="1622"/>
      <c r="F6" s="1622"/>
      <c r="G6" s="1623"/>
      <c r="H6" s="1621" t="s">
        <v>129</v>
      </c>
      <c r="I6" s="1622"/>
      <c r="J6" s="1622"/>
      <c r="K6" s="1622"/>
      <c r="L6" s="1622"/>
      <c r="M6" s="1623"/>
      <c r="N6" s="1621" t="s">
        <v>129</v>
      </c>
      <c r="O6" s="1622"/>
      <c r="P6" s="1622"/>
      <c r="Q6" s="1622"/>
      <c r="R6" s="1622"/>
      <c r="S6" s="1623"/>
    </row>
    <row r="7" spans="1:19" x14ac:dyDescent="0.25">
      <c r="A7" s="1286"/>
      <c r="B7" s="1287" t="s">
        <v>69</v>
      </c>
      <c r="C7" s="1288" t="s">
        <v>65</v>
      </c>
      <c r="D7" s="1288" t="s">
        <v>66</v>
      </c>
      <c r="E7" s="1288" t="s">
        <v>67</v>
      </c>
      <c r="F7" s="1288" t="s">
        <v>207</v>
      </c>
      <c r="G7" s="1289" t="s">
        <v>208</v>
      </c>
      <c r="H7" s="1287" t="s">
        <v>69</v>
      </c>
      <c r="I7" s="1288" t="s">
        <v>65</v>
      </c>
      <c r="J7" s="1288" t="s">
        <v>66</v>
      </c>
      <c r="K7" s="1288" t="s">
        <v>67</v>
      </c>
      <c r="L7" s="1288" t="s">
        <v>207</v>
      </c>
      <c r="M7" s="1289" t="s">
        <v>208</v>
      </c>
      <c r="N7" s="1287" t="s">
        <v>69</v>
      </c>
      <c r="O7" s="1288" t="s">
        <v>65</v>
      </c>
      <c r="P7" s="1288" t="s">
        <v>66</v>
      </c>
      <c r="Q7" s="1288" t="s">
        <v>67</v>
      </c>
      <c r="R7" s="1288" t="s">
        <v>207</v>
      </c>
      <c r="S7" s="1289" t="s">
        <v>208</v>
      </c>
    </row>
    <row r="8" spans="1:19" ht="30" x14ac:dyDescent="0.25">
      <c r="A8" s="1290"/>
      <c r="B8" s="1291" t="str">
        <f t="shared" ref="B8:G8" si="0">INDEX(TECH_OPT_DESC_Cls1,MATCH(B7,TECH_OPT_ROWS_Cls1,0))</f>
        <v>Conventional Diesel ICE</v>
      </c>
      <c r="C8" s="1292" t="str">
        <f t="shared" si="0"/>
        <v>Adv Conv</v>
      </c>
      <c r="D8" s="1292" t="str">
        <f t="shared" si="0"/>
        <v>ISG</v>
      </c>
      <c r="E8" s="1292" t="str">
        <f t="shared" si="0"/>
        <v>HEV</v>
      </c>
      <c r="F8" s="1292" t="str">
        <f t="shared" si="0"/>
        <v>PHEV</v>
      </c>
      <c r="G8" s="1293" t="str">
        <f t="shared" si="0"/>
        <v>FCHEV</v>
      </c>
      <c r="H8" s="1291" t="str">
        <f t="shared" ref="H8:M8" si="1">INDEX(TECH_OPT_DESC_Cls2,MATCH(H7,TECH_OPT_ROWS_Cls2,0))</f>
        <v>Conventional Diesel ICE</v>
      </c>
      <c r="I8" s="1292" t="str">
        <f t="shared" si="1"/>
        <v>Adv Conv</v>
      </c>
      <c r="J8" s="1292" t="str">
        <f t="shared" si="1"/>
        <v>ISG</v>
      </c>
      <c r="K8" s="1292" t="str">
        <f t="shared" si="1"/>
        <v>PHEV</v>
      </c>
      <c r="L8" s="1292" t="str">
        <f t="shared" si="1"/>
        <v>BEV</v>
      </c>
      <c r="M8" s="1293" t="str">
        <f t="shared" si="1"/>
        <v>FCHEV</v>
      </c>
      <c r="N8" s="1291" t="str">
        <f t="shared" ref="N8:S8" si="2">INDEX(TECH_OPT_DESC_Cls3,MATCH(N7,TECH_OPT_ROWS_Cls3,0))</f>
        <v>Conventional Diesel ICE</v>
      </c>
      <c r="O8" s="1292" t="str">
        <f t="shared" si="2"/>
        <v>Adv Conv</v>
      </c>
      <c r="P8" s="1292" t="str">
        <f t="shared" si="2"/>
        <v>ISG</v>
      </c>
      <c r="Q8" s="1292" t="str">
        <f t="shared" si="2"/>
        <v>HEV</v>
      </c>
      <c r="R8" s="1292" t="str">
        <f t="shared" si="2"/>
        <v>PHEV</v>
      </c>
      <c r="S8" s="1293" t="str">
        <f t="shared" si="2"/>
        <v>BEV</v>
      </c>
    </row>
    <row r="9" spans="1:19" ht="15.75" thickBot="1" x14ac:dyDescent="0.3">
      <c r="A9" s="1294" t="s">
        <v>3</v>
      </c>
      <c r="B9" s="1295" t="str">
        <f t="shared" ref="B9:G9" si="3">INDEX(TECH_OPT_FUEL1_Cls1,MATCH(B7,TECH_OPT_ROWS_Cls1,0))</f>
        <v>Diesel</v>
      </c>
      <c r="C9" s="1296" t="str">
        <f t="shared" si="3"/>
        <v>Diesel</v>
      </c>
      <c r="D9" s="1296" t="str">
        <f t="shared" si="3"/>
        <v>Diesel</v>
      </c>
      <c r="E9" s="1296" t="str">
        <f t="shared" si="3"/>
        <v>Diesel</v>
      </c>
      <c r="F9" s="1296" t="str">
        <f t="shared" si="3"/>
        <v>Diesel</v>
      </c>
      <c r="G9" s="1297" t="str">
        <f t="shared" si="3"/>
        <v>Hydrogen</v>
      </c>
      <c r="H9" s="1298" t="str">
        <f t="shared" ref="H9:M9" si="4">INDEX(TECH_OPT_FUEL1_Cls2,MATCH(H7,TECH_OPT_ROWS_Cls2,0))</f>
        <v>Diesel</v>
      </c>
      <c r="I9" s="1296" t="str">
        <f t="shared" si="4"/>
        <v>Diesel</v>
      </c>
      <c r="J9" s="1296" t="str">
        <f t="shared" si="4"/>
        <v>Diesel</v>
      </c>
      <c r="K9" s="1296" t="str">
        <f t="shared" si="4"/>
        <v>Diesel</v>
      </c>
      <c r="L9" s="1296" t="str">
        <f t="shared" si="4"/>
        <v>Electricity</v>
      </c>
      <c r="M9" s="1297" t="str">
        <f t="shared" si="4"/>
        <v>Hydrogen</v>
      </c>
      <c r="N9" s="1295" t="str">
        <f t="shared" ref="N9:S9" si="5">INDEX(TECH_OPT_FUEL1_Cls3,MATCH(N7,TECH_OPT_ROWS_Cls3,0))</f>
        <v>Diesel</v>
      </c>
      <c r="O9" s="1296" t="str">
        <f t="shared" si="5"/>
        <v>Diesel</v>
      </c>
      <c r="P9" s="1296" t="str">
        <f t="shared" si="5"/>
        <v>Diesel</v>
      </c>
      <c r="Q9" s="1296" t="str">
        <f t="shared" si="5"/>
        <v>Diesel</v>
      </c>
      <c r="R9" s="1296" t="str">
        <f t="shared" si="5"/>
        <v>Diesel</v>
      </c>
      <c r="S9" s="1297" t="str">
        <f t="shared" si="5"/>
        <v>Electricity</v>
      </c>
    </row>
    <row r="10" spans="1:19" ht="15.75" thickTop="1" x14ac:dyDescent="0.25">
      <c r="A10" s="1299">
        <v>2007</v>
      </c>
      <c r="B10" s="1300">
        <f>IF('Mkt Pen Veh-Mi'!B9=0,$B$5,($B$5-SUMPRODUCT(C10:G10,'Mkt Pen Veh-Mi'!C9:G9))/'Mkt Pen Veh-Mi'!B9)</f>
        <v>0.23038147668861172</v>
      </c>
      <c r="C10" s="1301">
        <f t="shared" ref="C10:C53" si="6">INDEX(Cls1TechACentShr,MATCH($A10,$A$10:$A$53,0))</f>
        <v>0</v>
      </c>
      <c r="D10" s="1301">
        <f t="shared" ref="D10:D53" si="7">INDEX(Cls1TechBCentShr,MATCH($A10,$A$10:$A$53,0))</f>
        <v>0</v>
      </c>
      <c r="E10" s="1301">
        <f t="shared" ref="E10:E53" si="8">INDEX(Cls1TechCCentShr,MATCH($A10,$A$10:$A$53,0))</f>
        <v>0</v>
      </c>
      <c r="F10" s="1301">
        <f t="shared" ref="F10:F53" si="9">INDEX(Cls1TechDCentShr,MATCH($A10,$A$10:$A$53,0))</f>
        <v>0</v>
      </c>
      <c r="G10" s="1326">
        <f t="shared" ref="G10:G53" si="10">INDEX(Cls1TechECentShr,MATCH($A10,$A$10:$A$53,0))</f>
        <v>0</v>
      </c>
      <c r="H10" s="1300">
        <f>IF('Mkt Pen Veh-Mi'!H9=0,$H$5,($H$5-SUMPRODUCT(I10:M10,'Mkt Pen Veh-Mi'!I9:M9))/'Mkt Pen Veh-Mi'!H9)</f>
        <v>0.61452169476443286</v>
      </c>
      <c r="I10" s="1301">
        <f t="shared" ref="I10:I53" si="11">INDEX(Cls2TechACentShr,MATCH($A10,$A$10:$A$53,0))</f>
        <v>0</v>
      </c>
      <c r="J10" s="1301">
        <f t="shared" ref="J10:J53" si="12">INDEX(Cls2TechBCentShr,MATCH($A10,$A$10:$A$53,0))</f>
        <v>0</v>
      </c>
      <c r="K10" s="1301">
        <f t="shared" ref="K10:K53" si="13">INDEX(Cls2TechCCentShr,MATCH($A10,$A$10:$A$53,0))</f>
        <v>0</v>
      </c>
      <c r="L10" s="1301">
        <f t="shared" ref="L10:L53" si="14">INDEX(Cls2TechDCentShr,MATCH($A10,$A$10:$A$53,0))</f>
        <v>0</v>
      </c>
      <c r="M10" s="1327">
        <f t="shared" ref="M10:M53" si="15">INDEX(Cls2TechECentShr,MATCH($A10,$A$10:$A$53,0))</f>
        <v>0</v>
      </c>
      <c r="N10" s="1300">
        <f>IF('Mkt Pen Veh-Mi'!N9=0,$N$5,($N$5-SUMPRODUCT(O10:S10,'Mkt Pen Veh-Mi'!O9:S9))/'Mkt Pen Veh-Mi'!N9)</f>
        <v>0.39932829612730575</v>
      </c>
      <c r="O10" s="1301">
        <f t="shared" ref="O10:O53" si="16">INDEX(Cls3TechACentShr,MATCH($A10,$A$10:$A$53,0))</f>
        <v>0</v>
      </c>
      <c r="P10" s="1301">
        <f t="shared" ref="P10:P53" si="17">INDEX(Cls3TechBCentShr,MATCH($A10,$A$10:$A$53,0))</f>
        <v>0</v>
      </c>
      <c r="Q10" s="1301">
        <f t="shared" ref="Q10:Q53" si="18">INDEX(Cls3TechCCentShr,MATCH($A10,$A$10:$A$53,0))</f>
        <v>0</v>
      </c>
      <c r="R10" s="1301">
        <f t="shared" ref="R10:R53" si="19">INDEX(Cls3TechDCentShr,MATCH($A10,$A$10:$A$53,0))</f>
        <v>0</v>
      </c>
      <c r="S10" s="1326">
        <f t="shared" ref="S10:S53" si="20">INDEX(Cls3TechECentShr,MATCH($A10,$A$10:$A$53,0))</f>
        <v>0</v>
      </c>
    </row>
    <row r="11" spans="1:19" x14ac:dyDescent="0.25">
      <c r="A11" s="1299">
        <v>2008</v>
      </c>
      <c r="B11" s="1302">
        <f>IF('Mkt Pen Veh-Mi'!B10=0,$B$5,($B$5-SUMPRODUCT(C11:G11,'Mkt Pen Veh-Mi'!C10:G10))/'Mkt Pen Veh-Mi'!B10)</f>
        <v>0.23038147668861172</v>
      </c>
      <c r="C11" s="1303">
        <f t="shared" si="6"/>
        <v>0</v>
      </c>
      <c r="D11" s="1303">
        <f t="shared" si="7"/>
        <v>0</v>
      </c>
      <c r="E11" s="1303">
        <f t="shared" si="8"/>
        <v>0</v>
      </c>
      <c r="F11" s="1303">
        <f t="shared" si="9"/>
        <v>0</v>
      </c>
      <c r="G11" s="1304">
        <f t="shared" si="10"/>
        <v>0</v>
      </c>
      <c r="H11" s="1302">
        <f>IF('Mkt Pen Veh-Mi'!H10=0,$H$5,($H$5-SUMPRODUCT(I11:M11,'Mkt Pen Veh-Mi'!I10:M10))/'Mkt Pen Veh-Mi'!H10)</f>
        <v>0.61452169476443286</v>
      </c>
      <c r="I11" s="1303">
        <f t="shared" si="11"/>
        <v>0</v>
      </c>
      <c r="J11" s="1303">
        <f t="shared" si="12"/>
        <v>0</v>
      </c>
      <c r="K11" s="1303">
        <f t="shared" si="13"/>
        <v>0</v>
      </c>
      <c r="L11" s="1303">
        <f t="shared" si="14"/>
        <v>0</v>
      </c>
      <c r="M11" s="1304">
        <f t="shared" si="15"/>
        <v>0</v>
      </c>
      <c r="N11" s="1302">
        <f>IF('Mkt Pen Veh-Mi'!N10=0,$N$5,($N$5-SUMPRODUCT(O11:S11,'Mkt Pen Veh-Mi'!O10:S10))/'Mkt Pen Veh-Mi'!N10)</f>
        <v>0.39932829612730575</v>
      </c>
      <c r="O11" s="1303">
        <f t="shared" si="16"/>
        <v>0</v>
      </c>
      <c r="P11" s="1303">
        <f t="shared" si="17"/>
        <v>0</v>
      </c>
      <c r="Q11" s="1303">
        <f t="shared" si="18"/>
        <v>0</v>
      </c>
      <c r="R11" s="1303">
        <f t="shared" si="19"/>
        <v>0</v>
      </c>
      <c r="S11" s="1304">
        <f t="shared" si="20"/>
        <v>0</v>
      </c>
    </row>
    <row r="12" spans="1:19" x14ac:dyDescent="0.25">
      <c r="A12" s="1299">
        <v>2009</v>
      </c>
      <c r="B12" s="1302">
        <f>IF('Mkt Pen Veh-Mi'!B11=0,$B$5,($B$5-SUMPRODUCT(C12:G12,'Mkt Pen Veh-Mi'!C11:G11))/'Mkt Pen Veh-Mi'!B11)</f>
        <v>0.23038147668861172</v>
      </c>
      <c r="C12" s="1303">
        <f t="shared" si="6"/>
        <v>0</v>
      </c>
      <c r="D12" s="1303">
        <f t="shared" si="7"/>
        <v>0</v>
      </c>
      <c r="E12" s="1303">
        <f t="shared" si="8"/>
        <v>0</v>
      </c>
      <c r="F12" s="1303">
        <f t="shared" si="9"/>
        <v>0</v>
      </c>
      <c r="G12" s="1304">
        <f t="shared" si="10"/>
        <v>0</v>
      </c>
      <c r="H12" s="1302">
        <f>IF('Mkt Pen Veh-Mi'!H11=0,$H$5,($H$5-SUMPRODUCT(I12:M12,'Mkt Pen Veh-Mi'!I11:M11))/'Mkt Pen Veh-Mi'!H11)</f>
        <v>0.61452169476443286</v>
      </c>
      <c r="I12" s="1303">
        <f t="shared" si="11"/>
        <v>0</v>
      </c>
      <c r="J12" s="1303">
        <f t="shared" si="12"/>
        <v>0</v>
      </c>
      <c r="K12" s="1303">
        <f t="shared" si="13"/>
        <v>0</v>
      </c>
      <c r="L12" s="1303">
        <f t="shared" si="14"/>
        <v>0</v>
      </c>
      <c r="M12" s="1304">
        <f t="shared" si="15"/>
        <v>0</v>
      </c>
      <c r="N12" s="1302">
        <f>IF('Mkt Pen Veh-Mi'!N11=0,$N$5,($N$5-SUMPRODUCT(O12:S12,'Mkt Pen Veh-Mi'!O11:S11))/'Mkt Pen Veh-Mi'!N11)</f>
        <v>0.39932829612730575</v>
      </c>
      <c r="O12" s="1303">
        <f t="shared" si="16"/>
        <v>0</v>
      </c>
      <c r="P12" s="1303">
        <f t="shared" si="17"/>
        <v>0</v>
      </c>
      <c r="Q12" s="1303">
        <f t="shared" si="18"/>
        <v>0</v>
      </c>
      <c r="R12" s="1303">
        <f t="shared" si="19"/>
        <v>0</v>
      </c>
      <c r="S12" s="1304">
        <f t="shared" si="20"/>
        <v>0</v>
      </c>
    </row>
    <row r="13" spans="1:19" x14ac:dyDescent="0.25">
      <c r="A13" s="1305">
        <v>2010</v>
      </c>
      <c r="B13" s="1306">
        <f>IF('Mkt Pen Veh-Mi'!B12=0,$B$5,($B$5-SUMPRODUCT(C13:G13,'Mkt Pen Veh-Mi'!C12:G12))/'Mkt Pen Veh-Mi'!B12)</f>
        <v>0.23038147668861172</v>
      </c>
      <c r="C13" s="1307">
        <f t="shared" si="6"/>
        <v>0</v>
      </c>
      <c r="D13" s="1307">
        <f t="shared" si="7"/>
        <v>0</v>
      </c>
      <c r="E13" s="1307">
        <f t="shared" si="8"/>
        <v>0</v>
      </c>
      <c r="F13" s="1307">
        <f t="shared" si="9"/>
        <v>0</v>
      </c>
      <c r="G13" s="1308">
        <f t="shared" si="10"/>
        <v>0</v>
      </c>
      <c r="H13" s="1306">
        <f>IF('Mkt Pen Veh-Mi'!H12=0,$H$5,($H$5-SUMPRODUCT(I13:M13,'Mkt Pen Veh-Mi'!I12:M12))/'Mkt Pen Veh-Mi'!H12)</f>
        <v>0.61452169476443286</v>
      </c>
      <c r="I13" s="1307">
        <f t="shared" si="11"/>
        <v>0</v>
      </c>
      <c r="J13" s="1307">
        <f t="shared" si="12"/>
        <v>0</v>
      </c>
      <c r="K13" s="1307">
        <f t="shared" si="13"/>
        <v>0</v>
      </c>
      <c r="L13" s="1307">
        <f t="shared" si="14"/>
        <v>0</v>
      </c>
      <c r="M13" s="1308">
        <f t="shared" si="15"/>
        <v>0</v>
      </c>
      <c r="N13" s="1306">
        <f>IF('Mkt Pen Veh-Mi'!N12=0,$N$5,($N$5-SUMPRODUCT(O13:S13,'Mkt Pen Veh-Mi'!O12:S12))/'Mkt Pen Veh-Mi'!N12)</f>
        <v>0.39932829612730575</v>
      </c>
      <c r="O13" s="1307">
        <f t="shared" si="16"/>
        <v>0</v>
      </c>
      <c r="P13" s="1307">
        <f t="shared" si="17"/>
        <v>0</v>
      </c>
      <c r="Q13" s="1307">
        <f t="shared" si="18"/>
        <v>0</v>
      </c>
      <c r="R13" s="1307">
        <f t="shared" si="19"/>
        <v>0</v>
      </c>
      <c r="S13" s="1308">
        <f t="shared" si="20"/>
        <v>0</v>
      </c>
    </row>
    <row r="14" spans="1:19" x14ac:dyDescent="0.25">
      <c r="A14" s="1299">
        <v>2011</v>
      </c>
      <c r="B14" s="1309">
        <f>IF('Mkt Pen Veh-Mi'!B13=0,$B$5,($B$5-SUMPRODUCT(C14:G14,'Mkt Pen Veh-Mi'!C13:G13))/'Mkt Pen Veh-Mi'!B13)</f>
        <v>0.23038147668861172</v>
      </c>
      <c r="C14" s="1310">
        <f t="shared" si="6"/>
        <v>0</v>
      </c>
      <c r="D14" s="1310">
        <f t="shared" si="7"/>
        <v>0</v>
      </c>
      <c r="E14" s="1310">
        <f t="shared" si="8"/>
        <v>0</v>
      </c>
      <c r="F14" s="1310">
        <f t="shared" si="9"/>
        <v>0</v>
      </c>
      <c r="G14" s="1311">
        <f t="shared" si="10"/>
        <v>0</v>
      </c>
      <c r="H14" s="1309">
        <f>IF('Mkt Pen Veh-Mi'!H13=0,$H$5,($H$5-SUMPRODUCT(I14:M14,'Mkt Pen Veh-Mi'!I13:M13))/'Mkt Pen Veh-Mi'!H13)</f>
        <v>0.61452169476443286</v>
      </c>
      <c r="I14" s="1310">
        <f t="shared" si="11"/>
        <v>0</v>
      </c>
      <c r="J14" s="1310">
        <f t="shared" si="12"/>
        <v>0</v>
      </c>
      <c r="K14" s="1310">
        <f t="shared" si="13"/>
        <v>0</v>
      </c>
      <c r="L14" s="1310">
        <f t="shared" si="14"/>
        <v>0</v>
      </c>
      <c r="M14" s="1311">
        <f t="shared" si="15"/>
        <v>0</v>
      </c>
      <c r="N14" s="1309">
        <f>IF('Mkt Pen Veh-Mi'!N13=0,$N$5,($N$5-SUMPRODUCT(O14:S14,'Mkt Pen Veh-Mi'!O13:S13))/'Mkt Pen Veh-Mi'!N13)</f>
        <v>0.39932829612730575</v>
      </c>
      <c r="O14" s="1310">
        <f t="shared" si="16"/>
        <v>0</v>
      </c>
      <c r="P14" s="1310">
        <f t="shared" si="17"/>
        <v>0</v>
      </c>
      <c r="Q14" s="1310">
        <f t="shared" si="18"/>
        <v>0</v>
      </c>
      <c r="R14" s="1310">
        <f t="shared" si="19"/>
        <v>0</v>
      </c>
      <c r="S14" s="1311">
        <f t="shared" si="20"/>
        <v>0</v>
      </c>
    </row>
    <row r="15" spans="1:19" x14ac:dyDescent="0.25">
      <c r="A15" s="1299">
        <v>2012</v>
      </c>
      <c r="B15" s="1302">
        <f>IF('Mkt Pen Veh-Mi'!B14=0,$B$5,($B$5-SUMPRODUCT(C15:G15,'Mkt Pen Veh-Mi'!C14:G14))/'Mkt Pen Veh-Mi'!B14)</f>
        <v>0.23038147668861172</v>
      </c>
      <c r="C15" s="1303">
        <f t="shared" si="6"/>
        <v>0</v>
      </c>
      <c r="D15" s="1303">
        <f t="shared" si="7"/>
        <v>0</v>
      </c>
      <c r="E15" s="1303">
        <f t="shared" si="8"/>
        <v>0</v>
      </c>
      <c r="F15" s="1303">
        <f t="shared" si="9"/>
        <v>0</v>
      </c>
      <c r="G15" s="1304">
        <f t="shared" si="10"/>
        <v>0</v>
      </c>
      <c r="H15" s="1302">
        <f>IF('Mkt Pen Veh-Mi'!H14=0,$H$5,($H$5-SUMPRODUCT(I15:M15,'Mkt Pen Veh-Mi'!I14:M14))/'Mkt Pen Veh-Mi'!H14)</f>
        <v>0.61452169476443286</v>
      </c>
      <c r="I15" s="1303">
        <f t="shared" si="11"/>
        <v>0</v>
      </c>
      <c r="J15" s="1303">
        <f t="shared" si="12"/>
        <v>0</v>
      </c>
      <c r="K15" s="1303">
        <f t="shared" si="13"/>
        <v>0</v>
      </c>
      <c r="L15" s="1303">
        <f t="shared" si="14"/>
        <v>0</v>
      </c>
      <c r="M15" s="1304">
        <f t="shared" si="15"/>
        <v>0</v>
      </c>
      <c r="N15" s="1302">
        <f>IF('Mkt Pen Veh-Mi'!N14=0,$N$5,($N$5-SUMPRODUCT(O15:S15,'Mkt Pen Veh-Mi'!O14:S14))/'Mkt Pen Veh-Mi'!N14)</f>
        <v>0.39932829612730575</v>
      </c>
      <c r="O15" s="1303">
        <f t="shared" si="16"/>
        <v>0</v>
      </c>
      <c r="P15" s="1303">
        <f t="shared" si="17"/>
        <v>0</v>
      </c>
      <c r="Q15" s="1303">
        <f t="shared" si="18"/>
        <v>0</v>
      </c>
      <c r="R15" s="1303">
        <f t="shared" si="19"/>
        <v>0</v>
      </c>
      <c r="S15" s="1304">
        <f t="shared" si="20"/>
        <v>0</v>
      </c>
    </row>
    <row r="16" spans="1:19" x14ac:dyDescent="0.25">
      <c r="A16" s="1299">
        <v>2013</v>
      </c>
      <c r="B16" s="1302">
        <f>IF('Mkt Pen Veh-Mi'!B15=0,$B$5,($B$5-SUMPRODUCT(C16:G16,'Mkt Pen Veh-Mi'!C15:G15))/'Mkt Pen Veh-Mi'!B15)</f>
        <v>0.23038147668861172</v>
      </c>
      <c r="C16" s="1303">
        <f t="shared" si="6"/>
        <v>0</v>
      </c>
      <c r="D16" s="1303">
        <f t="shared" si="7"/>
        <v>0</v>
      </c>
      <c r="E16" s="1303">
        <f t="shared" si="8"/>
        <v>0</v>
      </c>
      <c r="F16" s="1303">
        <f t="shared" si="9"/>
        <v>0</v>
      </c>
      <c r="G16" s="1304">
        <f t="shared" si="10"/>
        <v>0</v>
      </c>
      <c r="H16" s="1302">
        <f>IF('Mkt Pen Veh-Mi'!H15=0,$H$5,($H$5-SUMPRODUCT(I16:M16,'Mkt Pen Veh-Mi'!I15:M15))/'Mkt Pen Veh-Mi'!H15)</f>
        <v>0.61452169476443286</v>
      </c>
      <c r="I16" s="1303">
        <f t="shared" si="11"/>
        <v>0</v>
      </c>
      <c r="J16" s="1303">
        <f t="shared" si="12"/>
        <v>0</v>
      </c>
      <c r="K16" s="1303">
        <f t="shared" si="13"/>
        <v>0</v>
      </c>
      <c r="L16" s="1303">
        <f t="shared" si="14"/>
        <v>0</v>
      </c>
      <c r="M16" s="1304">
        <f t="shared" si="15"/>
        <v>0</v>
      </c>
      <c r="N16" s="1302">
        <f>IF('Mkt Pen Veh-Mi'!N15=0,$N$5,($N$5-SUMPRODUCT(O16:S16,'Mkt Pen Veh-Mi'!O15:S15))/'Mkt Pen Veh-Mi'!N15)</f>
        <v>0.39932829612730575</v>
      </c>
      <c r="O16" s="1303">
        <f t="shared" si="16"/>
        <v>0</v>
      </c>
      <c r="P16" s="1303">
        <f t="shared" si="17"/>
        <v>0</v>
      </c>
      <c r="Q16" s="1303">
        <f t="shared" si="18"/>
        <v>0</v>
      </c>
      <c r="R16" s="1303">
        <f t="shared" si="19"/>
        <v>0</v>
      </c>
      <c r="S16" s="1304">
        <f t="shared" si="20"/>
        <v>0</v>
      </c>
    </row>
    <row r="17" spans="1:19" x14ac:dyDescent="0.25">
      <c r="A17" s="1299">
        <v>2014</v>
      </c>
      <c r="B17" s="1302">
        <f>IF('Mkt Pen Veh-Mi'!B16=0,$B$5,($B$5-SUMPRODUCT(C17:G17,'Mkt Pen Veh-Mi'!C16:G16))/'Mkt Pen Veh-Mi'!B16)</f>
        <v>0.23038147668861172</v>
      </c>
      <c r="C17" s="1303">
        <f t="shared" si="6"/>
        <v>0</v>
      </c>
      <c r="D17" s="1303">
        <f t="shared" si="7"/>
        <v>0</v>
      </c>
      <c r="E17" s="1303">
        <f t="shared" si="8"/>
        <v>0</v>
      </c>
      <c r="F17" s="1303">
        <f t="shared" si="9"/>
        <v>0</v>
      </c>
      <c r="G17" s="1304">
        <f t="shared" si="10"/>
        <v>0</v>
      </c>
      <c r="H17" s="1302">
        <f>IF('Mkt Pen Veh-Mi'!H16=0,$H$5,($H$5-SUMPRODUCT(I17:M17,'Mkt Pen Veh-Mi'!I16:M16))/'Mkt Pen Veh-Mi'!H16)</f>
        <v>0.61452169476443286</v>
      </c>
      <c r="I17" s="1303">
        <f t="shared" si="11"/>
        <v>0</v>
      </c>
      <c r="J17" s="1303">
        <f t="shared" si="12"/>
        <v>0</v>
      </c>
      <c r="K17" s="1303">
        <f t="shared" si="13"/>
        <v>0</v>
      </c>
      <c r="L17" s="1303">
        <f t="shared" si="14"/>
        <v>0</v>
      </c>
      <c r="M17" s="1304">
        <f t="shared" si="15"/>
        <v>0</v>
      </c>
      <c r="N17" s="1302">
        <f>IF('Mkt Pen Veh-Mi'!N16=0,$N$5,($N$5-SUMPRODUCT(O17:S17,'Mkt Pen Veh-Mi'!O16:S16))/'Mkt Pen Veh-Mi'!N16)</f>
        <v>0.39932829612730575</v>
      </c>
      <c r="O17" s="1303">
        <f t="shared" si="16"/>
        <v>0</v>
      </c>
      <c r="P17" s="1303">
        <f t="shared" si="17"/>
        <v>0</v>
      </c>
      <c r="Q17" s="1303">
        <f t="shared" si="18"/>
        <v>0</v>
      </c>
      <c r="R17" s="1303">
        <f t="shared" si="19"/>
        <v>0</v>
      </c>
      <c r="S17" s="1304">
        <f t="shared" si="20"/>
        <v>0</v>
      </c>
    </row>
    <row r="18" spans="1:19" x14ac:dyDescent="0.25">
      <c r="A18" s="1305">
        <v>2015</v>
      </c>
      <c r="B18" s="1306">
        <f>IF('Mkt Pen Veh-Mi'!B17=0,$B$5,($B$5-SUMPRODUCT(C18:G18,'Mkt Pen Veh-Mi'!C17:G17))/'Mkt Pen Veh-Mi'!B17)</f>
        <v>0.23038147668861172</v>
      </c>
      <c r="C18" s="1307">
        <f t="shared" si="6"/>
        <v>0</v>
      </c>
      <c r="D18" s="1307">
        <f t="shared" si="7"/>
        <v>0</v>
      </c>
      <c r="E18" s="1307">
        <f t="shared" si="8"/>
        <v>0</v>
      </c>
      <c r="F18" s="1307">
        <f t="shared" si="9"/>
        <v>0</v>
      </c>
      <c r="G18" s="1308">
        <f t="shared" si="10"/>
        <v>0</v>
      </c>
      <c r="H18" s="1306">
        <f>IF('Mkt Pen Veh-Mi'!H17=0,$H$5,($H$5-SUMPRODUCT(I18:M18,'Mkt Pen Veh-Mi'!I17:M17))/'Mkt Pen Veh-Mi'!H17)</f>
        <v>0.61452169476443286</v>
      </c>
      <c r="I18" s="1307">
        <f t="shared" si="11"/>
        <v>0</v>
      </c>
      <c r="J18" s="1307">
        <f t="shared" si="12"/>
        <v>0</v>
      </c>
      <c r="K18" s="1307">
        <f t="shared" si="13"/>
        <v>0</v>
      </c>
      <c r="L18" s="1307">
        <f t="shared" si="14"/>
        <v>0</v>
      </c>
      <c r="M18" s="1308">
        <f t="shared" si="15"/>
        <v>0</v>
      </c>
      <c r="N18" s="1306">
        <f>IF('Mkt Pen Veh-Mi'!N17=0,$N$5,($N$5-SUMPRODUCT(O18:S18,'Mkt Pen Veh-Mi'!O17:S17))/'Mkt Pen Veh-Mi'!N17)</f>
        <v>0.39932829612730575</v>
      </c>
      <c r="O18" s="1307">
        <f t="shared" si="16"/>
        <v>0</v>
      </c>
      <c r="P18" s="1307">
        <f t="shared" si="17"/>
        <v>0</v>
      </c>
      <c r="Q18" s="1307">
        <f t="shared" si="18"/>
        <v>0</v>
      </c>
      <c r="R18" s="1307">
        <f t="shared" si="19"/>
        <v>0</v>
      </c>
      <c r="S18" s="1308">
        <f t="shared" si="20"/>
        <v>0</v>
      </c>
    </row>
    <row r="19" spans="1:19" x14ac:dyDescent="0.25">
      <c r="A19" s="1299">
        <v>2016</v>
      </c>
      <c r="B19" s="1309">
        <f>IF('Mkt Pen Veh-Mi'!B18=0,$B$5,($B$5-SUMPRODUCT(C19:G19,'Mkt Pen Veh-Mi'!C18:G18))/'Mkt Pen Veh-Mi'!B18)</f>
        <v>0.23038147668861172</v>
      </c>
      <c r="C19" s="1310">
        <f t="shared" si="6"/>
        <v>0</v>
      </c>
      <c r="D19" s="1310">
        <f t="shared" si="7"/>
        <v>0</v>
      </c>
      <c r="E19" s="1310">
        <f t="shared" si="8"/>
        <v>0</v>
      </c>
      <c r="F19" s="1310">
        <f t="shared" si="9"/>
        <v>0</v>
      </c>
      <c r="G19" s="1311">
        <f t="shared" si="10"/>
        <v>0</v>
      </c>
      <c r="H19" s="1309">
        <f>IF('Mkt Pen Veh-Mi'!H18=0,$H$5,($H$5-SUMPRODUCT(I19:M19,'Mkt Pen Veh-Mi'!I18:M18))/'Mkt Pen Veh-Mi'!H18)</f>
        <v>0.61452169476443286</v>
      </c>
      <c r="I19" s="1310">
        <f t="shared" si="11"/>
        <v>0</v>
      </c>
      <c r="J19" s="1310">
        <f t="shared" si="12"/>
        <v>0</v>
      </c>
      <c r="K19" s="1310">
        <f t="shared" si="13"/>
        <v>0</v>
      </c>
      <c r="L19" s="1310">
        <f t="shared" si="14"/>
        <v>0</v>
      </c>
      <c r="M19" s="1311">
        <f t="shared" si="15"/>
        <v>0</v>
      </c>
      <c r="N19" s="1309">
        <f>IF('Mkt Pen Veh-Mi'!N18=0,$N$5,($N$5-SUMPRODUCT(O19:S19,'Mkt Pen Veh-Mi'!O18:S18))/'Mkt Pen Veh-Mi'!N18)</f>
        <v>0.39932829612730575</v>
      </c>
      <c r="O19" s="1310">
        <f t="shared" si="16"/>
        <v>0</v>
      </c>
      <c r="P19" s="1310">
        <f t="shared" si="17"/>
        <v>0</v>
      </c>
      <c r="Q19" s="1310">
        <f t="shared" si="18"/>
        <v>0</v>
      </c>
      <c r="R19" s="1310">
        <f t="shared" si="19"/>
        <v>0</v>
      </c>
      <c r="S19" s="1311">
        <f t="shared" si="20"/>
        <v>0</v>
      </c>
    </row>
    <row r="20" spans="1:19" x14ac:dyDescent="0.25">
      <c r="A20" s="1299">
        <v>2017</v>
      </c>
      <c r="B20" s="1302">
        <f>IF('Mkt Pen Veh-Mi'!B19=0,$B$5,($B$5-SUMPRODUCT(C20:G20,'Mkt Pen Veh-Mi'!C19:G19))/'Mkt Pen Veh-Mi'!B19)</f>
        <v>0.23038147668861172</v>
      </c>
      <c r="C20" s="1303">
        <f t="shared" si="6"/>
        <v>0</v>
      </c>
      <c r="D20" s="1303">
        <f t="shared" si="7"/>
        <v>0</v>
      </c>
      <c r="E20" s="1303">
        <f t="shared" si="8"/>
        <v>0</v>
      </c>
      <c r="F20" s="1303">
        <f t="shared" si="9"/>
        <v>0</v>
      </c>
      <c r="G20" s="1304">
        <f t="shared" si="10"/>
        <v>0</v>
      </c>
      <c r="H20" s="1302">
        <f>IF('Mkt Pen Veh-Mi'!H19=0,$H$5,($H$5-SUMPRODUCT(I20:M20,'Mkt Pen Veh-Mi'!I19:M19))/'Mkt Pen Veh-Mi'!H19)</f>
        <v>0.61452169476443286</v>
      </c>
      <c r="I20" s="1303">
        <f t="shared" si="11"/>
        <v>0</v>
      </c>
      <c r="J20" s="1303">
        <f t="shared" si="12"/>
        <v>0</v>
      </c>
      <c r="K20" s="1303">
        <f t="shared" si="13"/>
        <v>0</v>
      </c>
      <c r="L20" s="1303">
        <f t="shared" si="14"/>
        <v>0</v>
      </c>
      <c r="M20" s="1304">
        <f t="shared" si="15"/>
        <v>0</v>
      </c>
      <c r="N20" s="1302">
        <f>IF('Mkt Pen Veh-Mi'!N19=0,$N$5,($N$5-SUMPRODUCT(O20:S20,'Mkt Pen Veh-Mi'!O19:S19))/'Mkt Pen Veh-Mi'!N19)</f>
        <v>0.39932829612730575</v>
      </c>
      <c r="O20" s="1303">
        <f t="shared" si="16"/>
        <v>0</v>
      </c>
      <c r="P20" s="1303">
        <f t="shared" si="17"/>
        <v>0</v>
      </c>
      <c r="Q20" s="1303">
        <f t="shared" si="18"/>
        <v>0</v>
      </c>
      <c r="R20" s="1303">
        <f t="shared" si="19"/>
        <v>0</v>
      </c>
      <c r="S20" s="1304">
        <f t="shared" si="20"/>
        <v>0</v>
      </c>
    </row>
    <row r="21" spans="1:19" x14ac:dyDescent="0.25">
      <c r="A21" s="1299">
        <v>2018</v>
      </c>
      <c r="B21" s="1302">
        <f>IF('Mkt Pen Veh-Mi'!B20=0,$B$5,($B$5-SUMPRODUCT(C21:G21,'Mkt Pen Veh-Mi'!C20:G20))/'Mkt Pen Veh-Mi'!B20)</f>
        <v>0.23038147668861172</v>
      </c>
      <c r="C21" s="1303">
        <f t="shared" si="6"/>
        <v>0</v>
      </c>
      <c r="D21" s="1303">
        <f t="shared" si="7"/>
        <v>0</v>
      </c>
      <c r="E21" s="1303">
        <f t="shared" si="8"/>
        <v>0</v>
      </c>
      <c r="F21" s="1303">
        <f t="shared" si="9"/>
        <v>0</v>
      </c>
      <c r="G21" s="1304">
        <f t="shared" si="10"/>
        <v>0</v>
      </c>
      <c r="H21" s="1302">
        <f>IF('Mkt Pen Veh-Mi'!H20=0,$H$5,($H$5-SUMPRODUCT(I21:M21,'Mkt Pen Veh-Mi'!I20:M20))/'Mkt Pen Veh-Mi'!H20)</f>
        <v>0.61452169476443286</v>
      </c>
      <c r="I21" s="1303">
        <f t="shared" si="11"/>
        <v>0</v>
      </c>
      <c r="J21" s="1303">
        <f t="shared" si="12"/>
        <v>0</v>
      </c>
      <c r="K21" s="1303">
        <f t="shared" si="13"/>
        <v>0</v>
      </c>
      <c r="L21" s="1303">
        <f t="shared" si="14"/>
        <v>0</v>
      </c>
      <c r="M21" s="1304">
        <f t="shared" si="15"/>
        <v>0</v>
      </c>
      <c r="N21" s="1302">
        <f>IF('Mkt Pen Veh-Mi'!N20=0,$N$5,($N$5-SUMPRODUCT(O21:S21,'Mkt Pen Veh-Mi'!O20:S20))/'Mkt Pen Veh-Mi'!N20)</f>
        <v>0.39932829612730575</v>
      </c>
      <c r="O21" s="1303">
        <f t="shared" si="16"/>
        <v>0</v>
      </c>
      <c r="P21" s="1303">
        <f t="shared" si="17"/>
        <v>0</v>
      </c>
      <c r="Q21" s="1303">
        <f t="shared" si="18"/>
        <v>0</v>
      </c>
      <c r="R21" s="1303">
        <f t="shared" si="19"/>
        <v>0</v>
      </c>
      <c r="S21" s="1304">
        <f t="shared" si="20"/>
        <v>0</v>
      </c>
    </row>
    <row r="22" spans="1:19" x14ac:dyDescent="0.25">
      <c r="A22" s="1299">
        <v>2019</v>
      </c>
      <c r="B22" s="1302">
        <f>IF('Mkt Pen Veh-Mi'!B21=0,$B$5,($B$5-SUMPRODUCT(C22:G22,'Mkt Pen Veh-Mi'!C21:G21))/'Mkt Pen Veh-Mi'!B21)</f>
        <v>0.23038147668861172</v>
      </c>
      <c r="C22" s="1303">
        <f t="shared" si="6"/>
        <v>0</v>
      </c>
      <c r="D22" s="1303">
        <f t="shared" si="7"/>
        <v>0</v>
      </c>
      <c r="E22" s="1303">
        <f t="shared" si="8"/>
        <v>0</v>
      </c>
      <c r="F22" s="1303">
        <f t="shared" si="9"/>
        <v>0</v>
      </c>
      <c r="G22" s="1304">
        <f t="shared" si="10"/>
        <v>0</v>
      </c>
      <c r="H22" s="1302">
        <f>IF('Mkt Pen Veh-Mi'!H21=0,$H$5,($H$5-SUMPRODUCT(I22:M22,'Mkt Pen Veh-Mi'!I21:M21))/'Mkt Pen Veh-Mi'!H21)</f>
        <v>0.61452169476443286</v>
      </c>
      <c r="I22" s="1303">
        <f t="shared" si="11"/>
        <v>0</v>
      </c>
      <c r="J22" s="1303">
        <f t="shared" si="12"/>
        <v>0</v>
      </c>
      <c r="K22" s="1303">
        <f t="shared" si="13"/>
        <v>0</v>
      </c>
      <c r="L22" s="1303">
        <f t="shared" si="14"/>
        <v>0</v>
      </c>
      <c r="M22" s="1304">
        <f t="shared" si="15"/>
        <v>0</v>
      </c>
      <c r="N22" s="1302">
        <f>IF('Mkt Pen Veh-Mi'!N21=0,$N$5,($N$5-SUMPRODUCT(O22:S22,'Mkt Pen Veh-Mi'!O21:S21))/'Mkt Pen Veh-Mi'!N21)</f>
        <v>0.39932829612730575</v>
      </c>
      <c r="O22" s="1303">
        <f t="shared" si="16"/>
        <v>0</v>
      </c>
      <c r="P22" s="1303">
        <f t="shared" si="17"/>
        <v>0</v>
      </c>
      <c r="Q22" s="1303">
        <f t="shared" si="18"/>
        <v>0</v>
      </c>
      <c r="R22" s="1303">
        <f t="shared" si="19"/>
        <v>0</v>
      </c>
      <c r="S22" s="1304">
        <f t="shared" si="20"/>
        <v>0</v>
      </c>
    </row>
    <row r="23" spans="1:19" x14ac:dyDescent="0.25">
      <c r="A23" s="1305">
        <v>2020</v>
      </c>
      <c r="B23" s="1306">
        <f>IF('Mkt Pen Veh-Mi'!B22=0,$B$5,($B$5-SUMPRODUCT(C23:G23,'Mkt Pen Veh-Mi'!C22:G22))/'Mkt Pen Veh-Mi'!B22)</f>
        <v>0.23038147668861172</v>
      </c>
      <c r="C23" s="1307">
        <f t="shared" si="6"/>
        <v>0</v>
      </c>
      <c r="D23" s="1307">
        <f t="shared" si="7"/>
        <v>0</v>
      </c>
      <c r="E23" s="1307">
        <f t="shared" si="8"/>
        <v>0</v>
      </c>
      <c r="F23" s="1307">
        <f t="shared" si="9"/>
        <v>0</v>
      </c>
      <c r="G23" s="1308">
        <f t="shared" si="10"/>
        <v>0</v>
      </c>
      <c r="H23" s="1306">
        <f>IF('Mkt Pen Veh-Mi'!H22=0,$H$5,($H$5-SUMPRODUCT(I23:M23,'Mkt Pen Veh-Mi'!I22:M22))/'Mkt Pen Veh-Mi'!H22)</f>
        <v>0.61452169476443286</v>
      </c>
      <c r="I23" s="1307">
        <f t="shared" si="11"/>
        <v>0</v>
      </c>
      <c r="J23" s="1307">
        <f t="shared" si="12"/>
        <v>0</v>
      </c>
      <c r="K23" s="1307">
        <f t="shared" si="13"/>
        <v>0</v>
      </c>
      <c r="L23" s="1307">
        <f t="shared" si="14"/>
        <v>0</v>
      </c>
      <c r="M23" s="1308">
        <f t="shared" si="15"/>
        <v>0</v>
      </c>
      <c r="N23" s="1306">
        <f>IF('Mkt Pen Veh-Mi'!N22=0,$N$5,($N$5-SUMPRODUCT(O23:S23,'Mkt Pen Veh-Mi'!O22:S22))/'Mkt Pen Veh-Mi'!N22)</f>
        <v>0.39932829612730575</v>
      </c>
      <c r="O23" s="1307">
        <f t="shared" si="16"/>
        <v>0</v>
      </c>
      <c r="P23" s="1307">
        <f t="shared" si="17"/>
        <v>0</v>
      </c>
      <c r="Q23" s="1307">
        <f t="shared" si="18"/>
        <v>0</v>
      </c>
      <c r="R23" s="1307">
        <f t="shared" si="19"/>
        <v>0</v>
      </c>
      <c r="S23" s="1308">
        <f t="shared" si="20"/>
        <v>0</v>
      </c>
    </row>
    <row r="24" spans="1:19" x14ac:dyDescent="0.25">
      <c r="A24" s="1299">
        <v>2021</v>
      </c>
      <c r="B24" s="1309">
        <f>IF('Mkt Pen Veh-Mi'!B23=0,$B$5,($B$5-SUMPRODUCT(C24:G24,'Mkt Pen Veh-Mi'!C23:G23))/'Mkt Pen Veh-Mi'!B23)</f>
        <v>0.23050629197540046</v>
      </c>
      <c r="C24" s="1310">
        <f t="shared" si="6"/>
        <v>0.22727740592562579</v>
      </c>
      <c r="D24" s="1310">
        <f t="shared" si="7"/>
        <v>0.22857580662085297</v>
      </c>
      <c r="E24" s="1310">
        <f t="shared" si="8"/>
        <v>0</v>
      </c>
      <c r="F24" s="1310">
        <f t="shared" si="9"/>
        <v>0</v>
      </c>
      <c r="G24" s="1311">
        <f t="shared" si="10"/>
        <v>0</v>
      </c>
      <c r="H24" s="1309">
        <f>IF('Mkt Pen Veh-Mi'!H23=0,$H$5,($H$5-SUMPRODUCT(I24:M24,'Mkt Pen Veh-Mi'!I23:M23))/'Mkt Pen Veh-Mi'!H23)</f>
        <v>0.61435452162776061</v>
      </c>
      <c r="I24" s="1310">
        <f t="shared" si="11"/>
        <v>0.61747522313199321</v>
      </c>
      <c r="J24" s="1310">
        <f t="shared" si="12"/>
        <v>0.62092827146254992</v>
      </c>
      <c r="K24" s="1310">
        <f t="shared" si="13"/>
        <v>0</v>
      </c>
      <c r="L24" s="1310">
        <f t="shared" si="14"/>
        <v>0</v>
      </c>
      <c r="M24" s="1311">
        <f t="shared" si="15"/>
        <v>0</v>
      </c>
      <c r="N24" s="1309">
        <f>IF('Mkt Pen Veh-Mi'!N23=0,$N$5,($N$5-SUMPRODUCT(O24:S24,'Mkt Pen Veh-Mi'!O23:S23))/'Mkt Pen Veh-Mi'!N23)</f>
        <v>0.39932829612730575</v>
      </c>
      <c r="O24" s="1310">
        <f t="shared" si="16"/>
        <v>0</v>
      </c>
      <c r="P24" s="1310">
        <f t="shared" si="17"/>
        <v>0</v>
      </c>
      <c r="Q24" s="1310">
        <f t="shared" si="18"/>
        <v>0</v>
      </c>
      <c r="R24" s="1310">
        <f t="shared" si="19"/>
        <v>0</v>
      </c>
      <c r="S24" s="1311">
        <f t="shared" si="20"/>
        <v>0</v>
      </c>
    </row>
    <row r="25" spans="1:19" x14ac:dyDescent="0.25">
      <c r="A25" s="1299">
        <v>2022</v>
      </c>
      <c r="B25" s="1302">
        <f>IF('Mkt Pen Veh-Mi'!B24=0,$B$5,($B$5-SUMPRODUCT(C25:G25,'Mkt Pen Veh-Mi'!C24:G24))/'Mkt Pen Veh-Mi'!B24)</f>
        <v>0.23080107793212032</v>
      </c>
      <c r="C25" s="1303">
        <f t="shared" si="6"/>
        <v>0.23051408239979657</v>
      </c>
      <c r="D25" s="1303">
        <f t="shared" si="7"/>
        <v>0.22244378637978604</v>
      </c>
      <c r="E25" s="1303">
        <f t="shared" si="8"/>
        <v>0.34322708970426091</v>
      </c>
      <c r="F25" s="1303">
        <f t="shared" si="9"/>
        <v>0</v>
      </c>
      <c r="G25" s="1304">
        <f t="shared" si="10"/>
        <v>0</v>
      </c>
      <c r="H25" s="1302">
        <f>IF('Mkt Pen Veh-Mi'!H24=0,$H$5,($H$5-SUMPRODUCT(I25:M25,'Mkt Pen Veh-Mi'!I24:M24))/'Mkt Pen Veh-Mi'!H24)</f>
        <v>0.6142255381274947</v>
      </c>
      <c r="I25" s="1303">
        <f t="shared" si="11"/>
        <v>0.61494526417443252</v>
      </c>
      <c r="J25" s="1303">
        <f t="shared" si="12"/>
        <v>0.62100594671964426</v>
      </c>
      <c r="K25" s="1303">
        <f t="shared" si="13"/>
        <v>0</v>
      </c>
      <c r="L25" s="1303">
        <f t="shared" si="14"/>
        <v>0</v>
      </c>
      <c r="M25" s="1304">
        <f t="shared" si="15"/>
        <v>0</v>
      </c>
      <c r="N25" s="1302">
        <f>IF('Mkt Pen Veh-Mi'!N24=0,$N$5,($N$5-SUMPRODUCT(O25:S25,'Mkt Pen Veh-Mi'!O24:S24))/'Mkt Pen Veh-Mi'!N24)</f>
        <v>0.39914805310518736</v>
      </c>
      <c r="O25" s="1303">
        <f t="shared" si="16"/>
        <v>0.40008226876704051</v>
      </c>
      <c r="P25" s="1303">
        <f t="shared" si="17"/>
        <v>0.41616132271667317</v>
      </c>
      <c r="Q25" s="1303">
        <f t="shared" si="18"/>
        <v>0.35678986093815857</v>
      </c>
      <c r="R25" s="1303">
        <f t="shared" si="19"/>
        <v>0</v>
      </c>
      <c r="S25" s="1304">
        <f t="shared" si="20"/>
        <v>0</v>
      </c>
    </row>
    <row r="26" spans="1:19" x14ac:dyDescent="0.25">
      <c r="A26" s="1299">
        <v>2023</v>
      </c>
      <c r="B26" s="1302">
        <f>IF('Mkt Pen Veh-Mi'!B25=0,$B$5,($B$5-SUMPRODUCT(C26:G26,'Mkt Pen Veh-Mi'!C25:G25))/'Mkt Pen Veh-Mi'!B25)</f>
        <v>0.23168479968224273</v>
      </c>
      <c r="C26" s="1303">
        <f t="shared" si="6"/>
        <v>0.22891128256138144</v>
      </c>
      <c r="D26" s="1303">
        <f t="shared" si="7"/>
        <v>0.22373394657279738</v>
      </c>
      <c r="E26" s="1303">
        <f t="shared" si="8"/>
        <v>0.22567498136939623</v>
      </c>
      <c r="F26" s="1303">
        <f t="shared" si="9"/>
        <v>0</v>
      </c>
      <c r="G26" s="1304">
        <f t="shared" si="10"/>
        <v>0</v>
      </c>
      <c r="H26" s="1302">
        <f>IF('Mkt Pen Veh-Mi'!H25=0,$H$5,($H$5-SUMPRODUCT(I26:M26,'Mkt Pen Veh-Mi'!I25:M25))/'Mkt Pen Veh-Mi'!H25)</f>
        <v>0.61280074152142616</v>
      </c>
      <c r="I26" s="1303">
        <f t="shared" si="11"/>
        <v>0.62111142989533186</v>
      </c>
      <c r="J26" s="1303">
        <f t="shared" si="12"/>
        <v>0.62198907568050399</v>
      </c>
      <c r="K26" s="1303">
        <f t="shared" si="13"/>
        <v>0</v>
      </c>
      <c r="L26" s="1303">
        <f t="shared" si="14"/>
        <v>0</v>
      </c>
      <c r="M26" s="1304">
        <f t="shared" si="15"/>
        <v>0</v>
      </c>
      <c r="N26" s="1302">
        <f>IF('Mkt Pen Veh-Mi'!N25=0,$N$5,($N$5-SUMPRODUCT(O26:S26,'Mkt Pen Veh-Mi'!O25:S25))/'Mkt Pen Veh-Mi'!N25)</f>
        <v>0.39893063348332297</v>
      </c>
      <c r="O26" s="1303">
        <f t="shared" si="16"/>
        <v>0.39882787383883878</v>
      </c>
      <c r="P26" s="1303">
        <f t="shared" si="17"/>
        <v>0.41513233998094407</v>
      </c>
      <c r="Q26" s="1303">
        <f t="shared" si="18"/>
        <v>0.37379149916476501</v>
      </c>
      <c r="R26" s="1303">
        <f t="shared" si="19"/>
        <v>0</v>
      </c>
      <c r="S26" s="1304">
        <f t="shared" si="20"/>
        <v>0</v>
      </c>
    </row>
    <row r="27" spans="1:19" x14ac:dyDescent="0.25">
      <c r="A27" s="1299">
        <v>2024</v>
      </c>
      <c r="B27" s="1302">
        <f>IF('Mkt Pen Veh-Mi'!B26=0,$B$5,($B$5-SUMPRODUCT(C27:G27,'Mkt Pen Veh-Mi'!C26:G26))/'Mkt Pen Veh-Mi'!B26)</f>
        <v>0.23494366281261186</v>
      </c>
      <c r="C27" s="1303">
        <f t="shared" si="6"/>
        <v>0.22536766319091103</v>
      </c>
      <c r="D27" s="1303">
        <f t="shared" si="7"/>
        <v>0.2259723323125889</v>
      </c>
      <c r="E27" s="1303">
        <f t="shared" si="8"/>
        <v>0.20768118401383473</v>
      </c>
      <c r="F27" s="1303">
        <f t="shared" si="9"/>
        <v>0</v>
      </c>
      <c r="G27" s="1304">
        <f t="shared" si="10"/>
        <v>0</v>
      </c>
      <c r="H27" s="1302">
        <f>IF('Mkt Pen Veh-Mi'!H26=0,$H$5,($H$5-SUMPRODUCT(I27:M27,'Mkt Pen Veh-Mi'!I26:M26))/'Mkt Pen Veh-Mi'!H26)</f>
        <v>0.61131984023115127</v>
      </c>
      <c r="I27" s="1303">
        <f t="shared" si="11"/>
        <v>0.61971978697291918</v>
      </c>
      <c r="J27" s="1303">
        <f t="shared" si="12"/>
        <v>0.62170705841342877</v>
      </c>
      <c r="K27" s="1303">
        <f t="shared" si="13"/>
        <v>0</v>
      </c>
      <c r="L27" s="1303">
        <f t="shared" si="14"/>
        <v>0</v>
      </c>
      <c r="M27" s="1304">
        <f t="shared" si="15"/>
        <v>0</v>
      </c>
      <c r="N27" s="1302">
        <f>IF('Mkt Pen Veh-Mi'!N26=0,$N$5,($N$5-SUMPRODUCT(O27:S27,'Mkt Pen Veh-Mi'!O26:S26))/'Mkt Pen Veh-Mi'!N26)</f>
        <v>0.39840708409773123</v>
      </c>
      <c r="O27" s="1303">
        <f t="shared" si="16"/>
        <v>0.39926507930626198</v>
      </c>
      <c r="P27" s="1303">
        <f t="shared" si="17"/>
        <v>0.41158276029551555</v>
      </c>
      <c r="Q27" s="1303">
        <f t="shared" si="18"/>
        <v>0.39572753749316775</v>
      </c>
      <c r="R27" s="1303">
        <f t="shared" si="19"/>
        <v>0</v>
      </c>
      <c r="S27" s="1304">
        <f t="shared" si="20"/>
        <v>0</v>
      </c>
    </row>
    <row r="28" spans="1:19" x14ac:dyDescent="0.25">
      <c r="A28" s="1305">
        <v>2025</v>
      </c>
      <c r="B28" s="1306">
        <f>IF('Mkt Pen Veh-Mi'!B27=0,$B$5,($B$5-SUMPRODUCT(C28:G28,'Mkt Pen Veh-Mi'!C27:G27))/'Mkt Pen Veh-Mi'!B27)</f>
        <v>0.2397694065478419</v>
      </c>
      <c r="C28" s="1307">
        <f t="shared" si="6"/>
        <v>0.22809388999714614</v>
      </c>
      <c r="D28" s="1307">
        <f t="shared" si="7"/>
        <v>0.22676752089165608</v>
      </c>
      <c r="E28" s="1307">
        <f t="shared" si="8"/>
        <v>0.20328491518258171</v>
      </c>
      <c r="F28" s="1307">
        <f t="shared" si="9"/>
        <v>0</v>
      </c>
      <c r="G28" s="1308">
        <f t="shared" si="10"/>
        <v>0</v>
      </c>
      <c r="H28" s="1306">
        <f>IF('Mkt Pen Veh-Mi'!H27=0,$H$5,($H$5-SUMPRODUCT(I28:M28,'Mkt Pen Veh-Mi'!I27:M27))/'Mkt Pen Veh-Mi'!H27)</f>
        <v>0.60732194822225949</v>
      </c>
      <c r="I28" s="1307">
        <f t="shared" si="11"/>
        <v>0.62102243503021681</v>
      </c>
      <c r="J28" s="1307">
        <f t="shared" si="12"/>
        <v>0.62362285229639358</v>
      </c>
      <c r="K28" s="1307">
        <f t="shared" si="13"/>
        <v>0</v>
      </c>
      <c r="L28" s="1307">
        <f t="shared" si="14"/>
        <v>0</v>
      </c>
      <c r="M28" s="1308">
        <f t="shared" si="15"/>
        <v>0</v>
      </c>
      <c r="N28" s="1306">
        <f>IF('Mkt Pen Veh-Mi'!N27=0,$N$5,($N$5-SUMPRODUCT(O28:S28,'Mkt Pen Veh-Mi'!O27:S27))/'Mkt Pen Veh-Mi'!N27)</f>
        <v>0.39881329388760201</v>
      </c>
      <c r="O28" s="1307">
        <f t="shared" si="16"/>
        <v>0.40105588837196748</v>
      </c>
      <c r="P28" s="1307">
        <f t="shared" si="17"/>
        <v>0.40062935285483753</v>
      </c>
      <c r="Q28" s="1307">
        <f t="shared" si="18"/>
        <v>0.40154762126521948</v>
      </c>
      <c r="R28" s="1307">
        <f t="shared" si="19"/>
        <v>0</v>
      </c>
      <c r="S28" s="1308">
        <f t="shared" si="20"/>
        <v>0</v>
      </c>
    </row>
    <row r="29" spans="1:19" x14ac:dyDescent="0.25">
      <c r="A29" s="1299">
        <v>2026</v>
      </c>
      <c r="B29" s="1309">
        <f>IF('Mkt Pen Veh-Mi'!B28=0,$B$5,($B$5-SUMPRODUCT(C29:G29,'Mkt Pen Veh-Mi'!C28:G28))/'Mkt Pen Veh-Mi'!B28)</f>
        <v>0.24611618294134668</v>
      </c>
      <c r="C29" s="1310">
        <f t="shared" si="6"/>
        <v>0.22987653391233243</v>
      </c>
      <c r="D29" s="1310">
        <f t="shared" si="7"/>
        <v>0.23023349666969206</v>
      </c>
      <c r="E29" s="1310">
        <f t="shared" si="8"/>
        <v>0.20388323438529016</v>
      </c>
      <c r="F29" s="1310">
        <f t="shared" si="9"/>
        <v>0</v>
      </c>
      <c r="G29" s="1311">
        <f t="shared" si="10"/>
        <v>0</v>
      </c>
      <c r="H29" s="1309">
        <f>IF('Mkt Pen Veh-Mi'!H28=0,$H$5,($H$5-SUMPRODUCT(I29:M29,'Mkt Pen Veh-Mi'!I28:M28))/'Mkt Pen Veh-Mi'!H28)</f>
        <v>0.60426796330299615</v>
      </c>
      <c r="I29" s="1310">
        <f t="shared" si="11"/>
        <v>0.61979030601483853</v>
      </c>
      <c r="J29" s="1310">
        <f t="shared" si="12"/>
        <v>0.62165038800233519</v>
      </c>
      <c r="K29" s="1310">
        <f t="shared" si="13"/>
        <v>0</v>
      </c>
      <c r="L29" s="1310">
        <f t="shared" si="14"/>
        <v>0</v>
      </c>
      <c r="M29" s="1311">
        <f t="shared" si="15"/>
        <v>0</v>
      </c>
      <c r="N29" s="1309">
        <f>IF('Mkt Pen Veh-Mi'!N28=0,$N$5,($N$5-SUMPRODUCT(O29:S29,'Mkt Pen Veh-Mi'!O28:S28))/'Mkt Pen Veh-Mi'!N28)</f>
        <v>0.39784553185656368</v>
      </c>
      <c r="O29" s="1310">
        <f t="shared" si="16"/>
        <v>0.40866799291881317</v>
      </c>
      <c r="P29" s="1310">
        <f t="shared" si="17"/>
        <v>0.39908523758535985</v>
      </c>
      <c r="Q29" s="1310">
        <f t="shared" si="18"/>
        <v>0.39838134063762565</v>
      </c>
      <c r="R29" s="1310">
        <f t="shared" si="19"/>
        <v>0.22636631647719074</v>
      </c>
      <c r="S29" s="1311">
        <f t="shared" si="20"/>
        <v>0</v>
      </c>
    </row>
    <row r="30" spans="1:19" x14ac:dyDescent="0.25">
      <c r="A30" s="1299">
        <v>2027</v>
      </c>
      <c r="B30" s="1302">
        <f>IF('Mkt Pen Veh-Mi'!B29=0,$B$5,($B$5-SUMPRODUCT(C30:G30,'Mkt Pen Veh-Mi'!C29:G29))/'Mkt Pen Veh-Mi'!B29)</f>
        <v>0.24947365256739426</v>
      </c>
      <c r="C30" s="1303">
        <f t="shared" si="6"/>
        <v>0.23258967266874075</v>
      </c>
      <c r="D30" s="1303">
        <f t="shared" si="7"/>
        <v>0.23099226161183017</v>
      </c>
      <c r="E30" s="1303">
        <f t="shared" si="8"/>
        <v>0.21068939434783202</v>
      </c>
      <c r="F30" s="1303">
        <f t="shared" si="9"/>
        <v>0</v>
      </c>
      <c r="G30" s="1304">
        <f t="shared" si="10"/>
        <v>0</v>
      </c>
      <c r="H30" s="1302">
        <f>IF('Mkt Pen Veh-Mi'!H29=0,$H$5,($H$5-SUMPRODUCT(I30:M30,'Mkt Pen Veh-Mi'!I29:M29))/'Mkt Pen Veh-Mi'!H29)</f>
        <v>0.60065205043217651</v>
      </c>
      <c r="I30" s="1303">
        <f t="shared" si="11"/>
        <v>0.62026104211693889</v>
      </c>
      <c r="J30" s="1303">
        <f t="shared" si="12"/>
        <v>0.61984836756922368</v>
      </c>
      <c r="K30" s="1303">
        <f t="shared" si="13"/>
        <v>0</v>
      </c>
      <c r="L30" s="1303">
        <f t="shared" si="14"/>
        <v>0</v>
      </c>
      <c r="M30" s="1304">
        <f t="shared" si="15"/>
        <v>0</v>
      </c>
      <c r="N30" s="1302">
        <f>IF('Mkt Pen Veh-Mi'!N29=0,$N$5,($N$5-SUMPRODUCT(O30:S30,'Mkt Pen Veh-Mi'!O29:S29))/'Mkt Pen Veh-Mi'!N29)</f>
        <v>0.40027300865398197</v>
      </c>
      <c r="O30" s="1303">
        <f t="shared" si="16"/>
        <v>0.40436742785220703</v>
      </c>
      <c r="P30" s="1303">
        <f t="shared" si="17"/>
        <v>0.39239081518887081</v>
      </c>
      <c r="Q30" s="1303">
        <f t="shared" si="18"/>
        <v>0.40260329394667999</v>
      </c>
      <c r="R30" s="1303">
        <f t="shared" si="19"/>
        <v>0.3165743722859844</v>
      </c>
      <c r="S30" s="1304">
        <f t="shared" si="20"/>
        <v>0</v>
      </c>
    </row>
    <row r="31" spans="1:19" x14ac:dyDescent="0.25">
      <c r="A31" s="1299">
        <v>2028</v>
      </c>
      <c r="B31" s="1302">
        <f>IF('Mkt Pen Veh-Mi'!B30=0,$B$5,($B$5-SUMPRODUCT(C31:G31,'Mkt Pen Veh-Mi'!C30:G30))/'Mkt Pen Veh-Mi'!B30)</f>
        <v>0.25118391336991386</v>
      </c>
      <c r="C31" s="1303">
        <f t="shared" si="6"/>
        <v>0.23402769758804032</v>
      </c>
      <c r="D31" s="1303">
        <f t="shared" si="7"/>
        <v>0.23297780673677074</v>
      </c>
      <c r="E31" s="1303">
        <f t="shared" si="8"/>
        <v>0.2115468183988862</v>
      </c>
      <c r="F31" s="1303">
        <f t="shared" si="9"/>
        <v>0</v>
      </c>
      <c r="G31" s="1304">
        <f t="shared" si="10"/>
        <v>0</v>
      </c>
      <c r="H31" s="1302">
        <f>IF('Mkt Pen Veh-Mi'!H30=0,$H$5,($H$5-SUMPRODUCT(I31:M31,'Mkt Pen Veh-Mi'!I30:M30))/'Mkt Pen Veh-Mi'!H30)</f>
        <v>0.60325328788514376</v>
      </c>
      <c r="I31" s="1303">
        <f t="shared" si="11"/>
        <v>0.61713742549267092</v>
      </c>
      <c r="J31" s="1303">
        <f t="shared" si="12"/>
        <v>0.61909159219012744</v>
      </c>
      <c r="K31" s="1303">
        <f t="shared" si="13"/>
        <v>0</v>
      </c>
      <c r="L31" s="1303">
        <f t="shared" si="14"/>
        <v>0</v>
      </c>
      <c r="M31" s="1304">
        <f t="shared" si="15"/>
        <v>0</v>
      </c>
      <c r="N31" s="1302">
        <f>IF('Mkt Pen Veh-Mi'!N30=0,$N$5,($N$5-SUMPRODUCT(O31:S31,'Mkt Pen Veh-Mi'!O30:S30))/'Mkt Pen Veh-Mi'!N30)</f>
        <v>0.39712452253247121</v>
      </c>
      <c r="O31" s="1303">
        <f t="shared" si="16"/>
        <v>0.40621890060144539</v>
      </c>
      <c r="P31" s="1303">
        <f t="shared" si="17"/>
        <v>0.39842548630692193</v>
      </c>
      <c r="Q31" s="1303">
        <f t="shared" si="18"/>
        <v>0.40158460168166887</v>
      </c>
      <c r="R31" s="1303">
        <f t="shared" si="19"/>
        <v>0.25010527384188297</v>
      </c>
      <c r="S31" s="1304">
        <f t="shared" si="20"/>
        <v>0</v>
      </c>
    </row>
    <row r="32" spans="1:19" x14ac:dyDescent="0.25">
      <c r="A32" s="1299">
        <v>2029</v>
      </c>
      <c r="B32" s="1302">
        <f>IF('Mkt Pen Veh-Mi'!B31=0,$B$5,($B$5-SUMPRODUCT(C32:G32,'Mkt Pen Veh-Mi'!C31:G31))/'Mkt Pen Veh-Mi'!B31)</f>
        <v>0.28572460259997379</v>
      </c>
      <c r="C32" s="1303">
        <f t="shared" si="6"/>
        <v>0.23141898899274677</v>
      </c>
      <c r="D32" s="1303">
        <f t="shared" si="7"/>
        <v>0.23134805972128542</v>
      </c>
      <c r="E32" s="1303">
        <f t="shared" si="8"/>
        <v>0.21852511788073958</v>
      </c>
      <c r="F32" s="1303">
        <f t="shared" si="9"/>
        <v>0</v>
      </c>
      <c r="G32" s="1304">
        <f t="shared" si="10"/>
        <v>0</v>
      </c>
      <c r="H32" s="1302">
        <f>IF('Mkt Pen Veh-Mi'!H31=0,$H$5,($H$5-SUMPRODUCT(I32:M32,'Mkt Pen Veh-Mi'!I31:M31))/'Mkt Pen Veh-Mi'!H31)</f>
        <v>0.60104399890121873</v>
      </c>
      <c r="I32" s="1303">
        <f t="shared" si="11"/>
        <v>0.61661867854506058</v>
      </c>
      <c r="J32" s="1303">
        <f t="shared" si="12"/>
        <v>0.61939618325189771</v>
      </c>
      <c r="K32" s="1303">
        <f t="shared" si="13"/>
        <v>0</v>
      </c>
      <c r="L32" s="1303">
        <f t="shared" si="14"/>
        <v>0</v>
      </c>
      <c r="M32" s="1304">
        <f t="shared" si="15"/>
        <v>0</v>
      </c>
      <c r="N32" s="1302">
        <f>IF('Mkt Pen Veh-Mi'!N31=0,$N$5,($N$5-SUMPRODUCT(O32:S32,'Mkt Pen Veh-Mi'!O31:S31))/'Mkt Pen Veh-Mi'!N31)</f>
        <v>0.39578735629939632</v>
      </c>
      <c r="O32" s="1303">
        <f t="shared" si="16"/>
        <v>0.40029121388270233</v>
      </c>
      <c r="P32" s="1303">
        <f t="shared" si="17"/>
        <v>0.40498153705556561</v>
      </c>
      <c r="Q32" s="1303">
        <f t="shared" si="18"/>
        <v>0.40331386342192599</v>
      </c>
      <c r="R32" s="1303">
        <f t="shared" si="19"/>
        <v>0.23161346742018912</v>
      </c>
      <c r="S32" s="1304">
        <f t="shared" si="20"/>
        <v>0</v>
      </c>
    </row>
    <row r="33" spans="1:19" x14ac:dyDescent="0.25">
      <c r="A33" s="1305">
        <v>2030</v>
      </c>
      <c r="B33" s="1306">
        <f>IF('Mkt Pen Veh-Mi'!B32=0,$B$5,($B$5-SUMPRODUCT(C33:G33,'Mkt Pen Veh-Mi'!C32:G32))/'Mkt Pen Veh-Mi'!B32)</f>
        <v>0.28066749582629824</v>
      </c>
      <c r="C33" s="1307">
        <f t="shared" si="6"/>
        <v>0.23238295234824322</v>
      </c>
      <c r="D33" s="1307">
        <f t="shared" si="7"/>
        <v>0.23241307429921168</v>
      </c>
      <c r="E33" s="1307">
        <f t="shared" si="8"/>
        <v>0.21935621396895824</v>
      </c>
      <c r="F33" s="1307">
        <f t="shared" si="9"/>
        <v>0</v>
      </c>
      <c r="G33" s="1308">
        <f t="shared" si="10"/>
        <v>0</v>
      </c>
      <c r="H33" s="1306">
        <f>IF('Mkt Pen Veh-Mi'!H32=0,$H$5,($H$5-SUMPRODUCT(I33:M33,'Mkt Pen Veh-Mi'!I32:M32))/'Mkt Pen Veh-Mi'!H32)</f>
        <v>0.59091062712656706</v>
      </c>
      <c r="I33" s="1307">
        <f t="shared" si="11"/>
        <v>0.61920919257182594</v>
      </c>
      <c r="J33" s="1307">
        <f t="shared" si="12"/>
        <v>0.62028744410115977</v>
      </c>
      <c r="K33" s="1307">
        <f t="shared" si="13"/>
        <v>0</v>
      </c>
      <c r="L33" s="1307">
        <f t="shared" si="14"/>
        <v>0</v>
      </c>
      <c r="M33" s="1308">
        <f t="shared" si="15"/>
        <v>0</v>
      </c>
      <c r="N33" s="1306">
        <f>IF('Mkt Pen Veh-Mi'!N32=0,$N$5,($N$5-SUMPRODUCT(O33:S33,'Mkt Pen Veh-Mi'!O32:S32))/'Mkt Pen Veh-Mi'!N32)</f>
        <v>0.39423122447777403</v>
      </c>
      <c r="O33" s="1307">
        <f t="shared" si="16"/>
        <v>0.40888392788509309</v>
      </c>
      <c r="P33" s="1307">
        <f t="shared" si="17"/>
        <v>0.40386629556337106</v>
      </c>
      <c r="Q33" s="1307">
        <f t="shared" si="18"/>
        <v>0.4014984561334321</v>
      </c>
      <c r="R33" s="1307">
        <f t="shared" si="19"/>
        <v>0.22960865430415056</v>
      </c>
      <c r="S33" s="1308">
        <f t="shared" si="20"/>
        <v>0</v>
      </c>
    </row>
    <row r="34" spans="1:19" x14ac:dyDescent="0.25">
      <c r="A34" s="1299">
        <v>2031</v>
      </c>
      <c r="B34" s="1309">
        <f>IF('Mkt Pen Veh-Mi'!B33=0,$B$5,($B$5-SUMPRODUCT(C34:G34,'Mkt Pen Veh-Mi'!C33:G33))/'Mkt Pen Veh-Mi'!B33)</f>
        <v>0.27912639929084193</v>
      </c>
      <c r="C34" s="1310">
        <f t="shared" si="6"/>
        <v>0.23249426103683463</v>
      </c>
      <c r="D34" s="1310">
        <f t="shared" si="7"/>
        <v>0.23235680750260373</v>
      </c>
      <c r="E34" s="1310">
        <f t="shared" si="8"/>
        <v>0.22008688954790728</v>
      </c>
      <c r="F34" s="1310">
        <f t="shared" si="9"/>
        <v>0</v>
      </c>
      <c r="G34" s="1311">
        <f t="shared" si="10"/>
        <v>0</v>
      </c>
      <c r="H34" s="1309">
        <f>IF('Mkt Pen Veh-Mi'!H33=0,$H$5,($H$5-SUMPRODUCT(I34:M34,'Mkt Pen Veh-Mi'!I33:M33))/'Mkt Pen Veh-Mi'!H33)</f>
        <v>0.58971527937671875</v>
      </c>
      <c r="I34" s="1310">
        <f t="shared" si="11"/>
        <v>0.62004601090340417</v>
      </c>
      <c r="J34" s="1310">
        <f t="shared" si="12"/>
        <v>0.62004601090340417</v>
      </c>
      <c r="K34" s="1310">
        <f t="shared" si="13"/>
        <v>0.3305148536499769</v>
      </c>
      <c r="L34" s="1310">
        <f t="shared" si="14"/>
        <v>0</v>
      </c>
      <c r="M34" s="1311">
        <f t="shared" si="15"/>
        <v>0</v>
      </c>
      <c r="N34" s="1309">
        <f>IF('Mkt Pen Veh-Mi'!N33=0,$N$5,($N$5-SUMPRODUCT(O34:S34,'Mkt Pen Veh-Mi'!O33:S33))/'Mkt Pen Veh-Mi'!N33)</f>
        <v>0.39381221791523136</v>
      </c>
      <c r="O34" s="1310">
        <f t="shared" si="16"/>
        <v>0.40029155819403428</v>
      </c>
      <c r="P34" s="1310">
        <f t="shared" si="17"/>
        <v>0.40568827657010825</v>
      </c>
      <c r="Q34" s="1310">
        <f t="shared" si="18"/>
        <v>0.41277809807028798</v>
      </c>
      <c r="R34" s="1310">
        <f t="shared" si="19"/>
        <v>0.23782110363088338</v>
      </c>
      <c r="S34" s="1311">
        <f t="shared" si="20"/>
        <v>0</v>
      </c>
    </row>
    <row r="35" spans="1:19" x14ac:dyDescent="0.25">
      <c r="A35" s="1299">
        <v>2032</v>
      </c>
      <c r="B35" s="1302">
        <f>IF('Mkt Pen Veh-Mi'!B34=0,$B$5,($B$5-SUMPRODUCT(C35:G35,'Mkt Pen Veh-Mi'!C34:G34))/'Mkt Pen Veh-Mi'!B34)</f>
        <v>0.28034516769757445</v>
      </c>
      <c r="C35" s="1303">
        <f t="shared" si="6"/>
        <v>0.23262240853555755</v>
      </c>
      <c r="D35" s="1303">
        <f t="shared" si="7"/>
        <v>0.23234997984606592</v>
      </c>
      <c r="E35" s="1303">
        <f t="shared" si="8"/>
        <v>0.22014889334025706</v>
      </c>
      <c r="F35" s="1303">
        <f t="shared" si="9"/>
        <v>0</v>
      </c>
      <c r="G35" s="1304">
        <f t="shared" si="10"/>
        <v>0</v>
      </c>
      <c r="H35" s="1302">
        <f>IF('Mkt Pen Veh-Mi'!H34=0,$H$5,($H$5-SUMPRODUCT(I35:M35,'Mkt Pen Veh-Mi'!I34:M34))/'Mkt Pen Veh-Mi'!H34)</f>
        <v>0.59116663249959733</v>
      </c>
      <c r="I35" s="1303">
        <f t="shared" si="11"/>
        <v>0.61994634119552816</v>
      </c>
      <c r="J35" s="1303">
        <f t="shared" si="12"/>
        <v>0.61994634119552816</v>
      </c>
      <c r="K35" s="1303">
        <f t="shared" si="13"/>
        <v>0.53149628518255554</v>
      </c>
      <c r="L35" s="1303">
        <f t="shared" si="14"/>
        <v>0</v>
      </c>
      <c r="M35" s="1304">
        <f t="shared" si="15"/>
        <v>0</v>
      </c>
      <c r="N35" s="1302">
        <f>IF('Mkt Pen Veh-Mi'!N34=0,$N$5,($N$5-SUMPRODUCT(O35:S35,'Mkt Pen Veh-Mi'!O34:S34))/'Mkt Pen Veh-Mi'!N34)</f>
        <v>0.39507969012600463</v>
      </c>
      <c r="O35" s="1303">
        <f t="shared" si="16"/>
        <v>0.40532267347878881</v>
      </c>
      <c r="P35" s="1303">
        <f t="shared" si="17"/>
        <v>0.40408371521471637</v>
      </c>
      <c r="Q35" s="1303">
        <f t="shared" si="18"/>
        <v>0.40659977035471118</v>
      </c>
      <c r="R35" s="1303">
        <f t="shared" si="19"/>
        <v>0.24562296299505659</v>
      </c>
      <c r="S35" s="1304">
        <f t="shared" si="20"/>
        <v>0</v>
      </c>
    </row>
    <row r="36" spans="1:19" x14ac:dyDescent="0.25">
      <c r="A36" s="1299">
        <v>2033</v>
      </c>
      <c r="B36" s="1302">
        <f>IF('Mkt Pen Veh-Mi'!B35=0,$B$5,($B$5-SUMPRODUCT(C36:G36,'Mkt Pen Veh-Mi'!C35:G35))/'Mkt Pen Veh-Mi'!B35)</f>
        <v>0.28276771466359535</v>
      </c>
      <c r="C36" s="1303">
        <f t="shared" si="6"/>
        <v>0.23211289419021139</v>
      </c>
      <c r="D36" s="1303">
        <f t="shared" si="7"/>
        <v>0.23157463262870326</v>
      </c>
      <c r="E36" s="1303">
        <f t="shared" si="8"/>
        <v>0.22189120147697611</v>
      </c>
      <c r="F36" s="1303">
        <f t="shared" si="9"/>
        <v>0</v>
      </c>
      <c r="G36" s="1304">
        <f t="shared" si="10"/>
        <v>0</v>
      </c>
      <c r="H36" s="1302">
        <f>IF('Mkt Pen Veh-Mi'!H35=0,$H$5,($H$5-SUMPRODUCT(I36:M36,'Mkt Pen Veh-Mi'!I35:M35))/'Mkt Pen Veh-Mi'!H35)</f>
        <v>0.59734895357250162</v>
      </c>
      <c r="I36" s="1303">
        <f t="shared" si="11"/>
        <v>0.61848415025628611</v>
      </c>
      <c r="J36" s="1303">
        <f t="shared" si="12"/>
        <v>0.618484150256286</v>
      </c>
      <c r="K36" s="1303">
        <f t="shared" si="13"/>
        <v>0.59695997398992418</v>
      </c>
      <c r="L36" s="1303">
        <f t="shared" si="14"/>
        <v>0</v>
      </c>
      <c r="M36" s="1304">
        <f t="shared" si="15"/>
        <v>0</v>
      </c>
      <c r="N36" s="1302">
        <f>IF('Mkt Pen Veh-Mi'!N35=0,$N$5,($N$5-SUMPRODUCT(O36:S36,'Mkt Pen Veh-Mi'!O35:S35))/'Mkt Pen Veh-Mi'!N35)</f>
        <v>0.39505253093735404</v>
      </c>
      <c r="O36" s="1303">
        <f t="shared" si="16"/>
        <v>0.40651121950747926</v>
      </c>
      <c r="P36" s="1303">
        <f t="shared" si="17"/>
        <v>0.40505853420436155</v>
      </c>
      <c r="Q36" s="1303">
        <f t="shared" si="18"/>
        <v>0.40593585973455898</v>
      </c>
      <c r="R36" s="1303">
        <f t="shared" si="19"/>
        <v>0.25803563149546876</v>
      </c>
      <c r="S36" s="1304">
        <f t="shared" si="20"/>
        <v>0</v>
      </c>
    </row>
    <row r="37" spans="1:19" x14ac:dyDescent="0.25">
      <c r="A37" s="1299">
        <v>2034</v>
      </c>
      <c r="B37" s="1302">
        <f>IF('Mkt Pen Veh-Mi'!B36=0,$B$5,($B$5-SUMPRODUCT(C37:G37,'Mkt Pen Veh-Mi'!C36:G36))/'Mkt Pen Veh-Mi'!B36)</f>
        <v>0.28654508467945866</v>
      </c>
      <c r="C37" s="1303">
        <f t="shared" si="6"/>
        <v>0.23199730129608664</v>
      </c>
      <c r="D37" s="1303">
        <f t="shared" si="7"/>
        <v>0.23196339568759192</v>
      </c>
      <c r="E37" s="1303">
        <f t="shared" si="8"/>
        <v>0.22141172169464737</v>
      </c>
      <c r="F37" s="1303">
        <f t="shared" si="9"/>
        <v>0</v>
      </c>
      <c r="G37" s="1304">
        <f t="shared" si="10"/>
        <v>0</v>
      </c>
      <c r="H37" s="1302">
        <f>IF('Mkt Pen Veh-Mi'!H36=0,$H$5,($H$5-SUMPRODUCT(I37:M37,'Mkt Pen Veh-Mi'!I36:M36))/'Mkt Pen Veh-Mi'!H36)</f>
        <v>0.59734132517966854</v>
      </c>
      <c r="I37" s="1303">
        <f t="shared" si="11"/>
        <v>0.61814278998399852</v>
      </c>
      <c r="J37" s="1303">
        <f t="shared" si="12"/>
        <v>0.61814278998399852</v>
      </c>
      <c r="K37" s="1303">
        <f t="shared" si="13"/>
        <v>0.61927560703636952</v>
      </c>
      <c r="L37" s="1303">
        <f t="shared" si="14"/>
        <v>0</v>
      </c>
      <c r="M37" s="1304">
        <f t="shared" si="15"/>
        <v>0</v>
      </c>
      <c r="N37" s="1302">
        <f>IF('Mkt Pen Veh-Mi'!N36=0,$N$5,($N$5-SUMPRODUCT(O37:S37,'Mkt Pen Veh-Mi'!O36:S36))/'Mkt Pen Veh-Mi'!N36)</f>
        <v>0.39505035002626504</v>
      </c>
      <c r="O37" s="1303">
        <f t="shared" si="16"/>
        <v>0.40703595583665114</v>
      </c>
      <c r="P37" s="1303">
        <f t="shared" si="17"/>
        <v>0.40543047084560946</v>
      </c>
      <c r="Q37" s="1303">
        <f t="shared" si="18"/>
        <v>0.4065649575267144</v>
      </c>
      <c r="R37" s="1303">
        <f t="shared" si="19"/>
        <v>0.27546902938840606</v>
      </c>
      <c r="S37" s="1304">
        <f t="shared" si="20"/>
        <v>0</v>
      </c>
    </row>
    <row r="38" spans="1:19" x14ac:dyDescent="0.25">
      <c r="A38" s="1305">
        <v>2035</v>
      </c>
      <c r="B38" s="1306">
        <f>IF('Mkt Pen Veh-Mi'!B37=0,$B$5,($B$5-SUMPRODUCT(C38:G38,'Mkt Pen Veh-Mi'!C37:G37))/'Mkt Pen Veh-Mi'!B37)</f>
        <v>0.31892258082874275</v>
      </c>
      <c r="C38" s="1307">
        <f t="shared" si="6"/>
        <v>0.23097164746781937</v>
      </c>
      <c r="D38" s="1307">
        <f t="shared" si="7"/>
        <v>0.23149523143149539</v>
      </c>
      <c r="E38" s="1307">
        <f t="shared" si="8"/>
        <v>0.22150560798756799</v>
      </c>
      <c r="F38" s="1307">
        <f t="shared" si="9"/>
        <v>0</v>
      </c>
      <c r="G38" s="1308">
        <f t="shared" si="10"/>
        <v>0</v>
      </c>
      <c r="H38" s="1306">
        <f>IF('Mkt Pen Veh-Mi'!H37=0,$H$5,($H$5-SUMPRODUCT(I38:M38,'Mkt Pen Veh-Mi'!I37:M37))/'Mkt Pen Veh-Mi'!H37)</f>
        <v>0.59518858189146129</v>
      </c>
      <c r="I38" s="1307">
        <f t="shared" si="11"/>
        <v>0.61858354932726944</v>
      </c>
      <c r="J38" s="1307">
        <f t="shared" si="12"/>
        <v>0.61772421515834874</v>
      </c>
      <c r="K38" s="1307">
        <f t="shared" si="13"/>
        <v>0.62231213532878504</v>
      </c>
      <c r="L38" s="1307">
        <f t="shared" si="14"/>
        <v>0</v>
      </c>
      <c r="M38" s="1308">
        <f t="shared" si="15"/>
        <v>0</v>
      </c>
      <c r="N38" s="1306">
        <f>IF('Mkt Pen Veh-Mi'!N37=0,$N$5,($N$5-SUMPRODUCT(O38:S38,'Mkt Pen Veh-Mi'!O37:S37))/'Mkt Pen Veh-Mi'!N37)</f>
        <v>0.39504954715402985</v>
      </c>
      <c r="O38" s="1307">
        <f t="shared" si="16"/>
        <v>0.40875718530922578</v>
      </c>
      <c r="P38" s="1307">
        <f t="shared" si="17"/>
        <v>0.40291650672747376</v>
      </c>
      <c r="Q38" s="1307">
        <f t="shared" si="18"/>
        <v>0.41006982943209647</v>
      </c>
      <c r="R38" s="1307">
        <f t="shared" si="19"/>
        <v>0.29820315175994727</v>
      </c>
      <c r="S38" s="1308">
        <f t="shared" si="20"/>
        <v>0</v>
      </c>
    </row>
    <row r="39" spans="1:19" x14ac:dyDescent="0.25">
      <c r="A39" s="1299">
        <v>2036</v>
      </c>
      <c r="B39" s="1309">
        <f>IF('Mkt Pen Veh-Mi'!B38=0,$B$5,($B$5-SUMPRODUCT(C39:G39,'Mkt Pen Veh-Mi'!C38:G38))/'Mkt Pen Veh-Mi'!B38)</f>
        <v>0.30013580264153461</v>
      </c>
      <c r="C39" s="1310">
        <f t="shared" si="6"/>
        <v>0.23139122501548734</v>
      </c>
      <c r="D39" s="1310">
        <f t="shared" si="7"/>
        <v>0.23158173322366521</v>
      </c>
      <c r="E39" s="1310">
        <f t="shared" si="8"/>
        <v>0.22247479645995996</v>
      </c>
      <c r="F39" s="1310">
        <f t="shared" si="9"/>
        <v>5.8807285332125689E-2</v>
      </c>
      <c r="G39" s="1311">
        <f t="shared" si="10"/>
        <v>0</v>
      </c>
      <c r="H39" s="1309">
        <f>IF('Mkt Pen Veh-Mi'!H38=0,$H$5,($H$5-SUMPRODUCT(I39:M39,'Mkt Pen Veh-Mi'!I38:M38))/'Mkt Pen Veh-Mi'!H38)</f>
        <v>0.59893220000830572</v>
      </c>
      <c r="I39" s="1310">
        <f t="shared" si="11"/>
        <v>0.61760951751780058</v>
      </c>
      <c r="J39" s="1310">
        <f t="shared" si="12"/>
        <v>0.61760951751780069</v>
      </c>
      <c r="K39" s="1310">
        <f t="shared" si="13"/>
        <v>0.61797066327057237</v>
      </c>
      <c r="L39" s="1310">
        <f t="shared" si="14"/>
        <v>0</v>
      </c>
      <c r="M39" s="1311">
        <f t="shared" si="15"/>
        <v>0</v>
      </c>
      <c r="N39" s="1309">
        <f>IF('Mkt Pen Veh-Mi'!N38=0,$N$5,($N$5-SUMPRODUCT(O39:S39,'Mkt Pen Veh-Mi'!O38:S38))/'Mkt Pen Veh-Mi'!N38)</f>
        <v>0.39593768979849836</v>
      </c>
      <c r="O39" s="1310">
        <f t="shared" si="16"/>
        <v>0.40832562191516936</v>
      </c>
      <c r="P39" s="1310">
        <f t="shared" si="17"/>
        <v>0.40385084665512899</v>
      </c>
      <c r="Q39" s="1310">
        <f t="shared" si="18"/>
        <v>0.40732405071512928</v>
      </c>
      <c r="R39" s="1310">
        <f t="shared" si="19"/>
        <v>0.30163982715176774</v>
      </c>
      <c r="S39" s="1311">
        <f t="shared" si="20"/>
        <v>0</v>
      </c>
    </row>
    <row r="40" spans="1:19" x14ac:dyDescent="0.25">
      <c r="A40" s="1299">
        <v>2037</v>
      </c>
      <c r="B40" s="1302">
        <f>IF('Mkt Pen Veh-Mi'!B39=0,$B$5,($B$5-SUMPRODUCT(C40:G40,'Mkt Pen Veh-Mi'!C39:G39))/'Mkt Pen Veh-Mi'!B39)</f>
        <v>0.30014977346668825</v>
      </c>
      <c r="C40" s="1303">
        <f t="shared" si="6"/>
        <v>0.23139709776540993</v>
      </c>
      <c r="D40" s="1303">
        <f t="shared" si="7"/>
        <v>0.23158762713942996</v>
      </c>
      <c r="E40" s="1303">
        <f t="shared" si="8"/>
        <v>0.22248272695341223</v>
      </c>
      <c r="F40" s="1303">
        <f t="shared" si="9"/>
        <v>7.7939739250096243E-2</v>
      </c>
      <c r="G40" s="1304">
        <f t="shared" si="10"/>
        <v>0</v>
      </c>
      <c r="H40" s="1302">
        <f>IF('Mkt Pen Veh-Mi'!H39=0,$H$5,($H$5-SUMPRODUCT(I40:M40,'Mkt Pen Veh-Mi'!I39:M39))/'Mkt Pen Veh-Mi'!H39)</f>
        <v>0.59893183663811966</v>
      </c>
      <c r="I40" s="1303">
        <f t="shared" si="11"/>
        <v>0.61572697891814898</v>
      </c>
      <c r="J40" s="1303">
        <f t="shared" si="12"/>
        <v>0.61572697891814909</v>
      </c>
      <c r="K40" s="1303">
        <f t="shared" si="13"/>
        <v>0.60954646193988293</v>
      </c>
      <c r="L40" s="1303">
        <f t="shared" si="14"/>
        <v>0</v>
      </c>
      <c r="M40" s="1304">
        <f t="shared" si="15"/>
        <v>0.99803374203333795</v>
      </c>
      <c r="N40" s="1302">
        <f>IF('Mkt Pen Veh-Mi'!N39=0,$N$5,($N$5-SUMPRODUCT(O40:S40,'Mkt Pen Veh-Mi'!O39:S39))/'Mkt Pen Veh-Mi'!N39)</f>
        <v>0.39593760344172951</v>
      </c>
      <c r="O40" s="1303">
        <f t="shared" si="16"/>
        <v>0.4038796158340402</v>
      </c>
      <c r="P40" s="1303">
        <f t="shared" si="17"/>
        <v>0.40635501839481275</v>
      </c>
      <c r="Q40" s="1303">
        <f t="shared" si="18"/>
        <v>0.40853187010404673</v>
      </c>
      <c r="R40" s="1303">
        <f t="shared" si="19"/>
        <v>0.30516260081222985</v>
      </c>
      <c r="S40" s="1304">
        <f t="shared" si="20"/>
        <v>0</v>
      </c>
    </row>
    <row r="41" spans="1:19" x14ac:dyDescent="0.25">
      <c r="A41" s="1299">
        <v>2038</v>
      </c>
      <c r="B41" s="1302">
        <f>IF('Mkt Pen Veh-Mi'!B40=0,$B$5,($B$5-SUMPRODUCT(C41:G41,'Mkt Pen Veh-Mi'!C40:G40))/'Mkt Pen Veh-Mi'!B40)</f>
        <v>0.31271173422779908</v>
      </c>
      <c r="C41" s="1303">
        <f t="shared" si="6"/>
        <v>0.23112130559004299</v>
      </c>
      <c r="D41" s="1303">
        <f t="shared" si="7"/>
        <v>0.23149063249055843</v>
      </c>
      <c r="E41" s="1303">
        <f t="shared" si="8"/>
        <v>0.22238344105210714</v>
      </c>
      <c r="F41" s="1303">
        <f t="shared" si="9"/>
        <v>0.12998085457067032</v>
      </c>
      <c r="G41" s="1304">
        <f t="shared" si="10"/>
        <v>0.23108480861868286</v>
      </c>
      <c r="H41" s="1302">
        <f>IF('Mkt Pen Veh-Mi'!H40=0,$H$5,($H$5-SUMPRODUCT(I41:M41,'Mkt Pen Veh-Mi'!I40:M40))/'Mkt Pen Veh-Mi'!H40)</f>
        <v>0.59893170295743703</v>
      </c>
      <c r="I41" s="1303">
        <f t="shared" si="11"/>
        <v>0.59373727854040603</v>
      </c>
      <c r="J41" s="1303">
        <f t="shared" si="12"/>
        <v>0.59373727854040592</v>
      </c>
      <c r="K41" s="1303">
        <f t="shared" si="13"/>
        <v>0.56839561131445548</v>
      </c>
      <c r="L41" s="1303">
        <f t="shared" si="14"/>
        <v>0</v>
      </c>
      <c r="M41" s="1304">
        <f t="shared" si="15"/>
        <v>0.99937015944843743</v>
      </c>
      <c r="N41" s="1302">
        <f>IF('Mkt Pen Veh-Mi'!N40=0,$N$5,($N$5-SUMPRODUCT(O41:S41,'Mkt Pen Veh-Mi'!O40:S40))/'Mkt Pen Veh-Mi'!N40)</f>
        <v>0.39591037314911481</v>
      </c>
      <c r="O41" s="1303">
        <f t="shared" si="16"/>
        <v>0.40889302757488705</v>
      </c>
      <c r="P41" s="1303">
        <f t="shared" si="17"/>
        <v>0.40439276934267243</v>
      </c>
      <c r="Q41" s="1303">
        <f t="shared" si="18"/>
        <v>0.40668575937142698</v>
      </c>
      <c r="R41" s="1303">
        <f t="shared" si="19"/>
        <v>0.31068784537948146</v>
      </c>
      <c r="S41" s="1304">
        <f t="shared" si="20"/>
        <v>2.7258287862837509E-2</v>
      </c>
    </row>
    <row r="42" spans="1:19" x14ac:dyDescent="0.25">
      <c r="A42" s="1299">
        <v>2039</v>
      </c>
      <c r="B42" s="1302">
        <f>IF('Mkt Pen Veh-Mi'!B41=0,$B$5,($B$5-SUMPRODUCT(C42:G42,'Mkt Pen Veh-Mi'!C41:G41))/'Mkt Pen Veh-Mi'!B41)</f>
        <v>0.31435723466366883</v>
      </c>
      <c r="C42" s="1303">
        <f t="shared" si="6"/>
        <v>0.22676231939834385</v>
      </c>
      <c r="D42" s="1303">
        <f t="shared" si="7"/>
        <v>0.22713344253045217</v>
      </c>
      <c r="E42" s="1303">
        <f t="shared" si="8"/>
        <v>0.21622465590291792</v>
      </c>
      <c r="F42" s="1303">
        <f t="shared" si="9"/>
        <v>0.14394727449653519</v>
      </c>
      <c r="G42" s="1304">
        <f t="shared" si="10"/>
        <v>0.98329913411606384</v>
      </c>
      <c r="H42" s="1302">
        <f>IF('Mkt Pen Veh-Mi'!H41=0,$H$5,($H$5-SUMPRODUCT(I42:M42,'Mkt Pen Veh-Mi'!I41:M41))/'Mkt Pen Veh-Mi'!H41)</f>
        <v>0.59808179676649276</v>
      </c>
      <c r="I42" s="1303">
        <f t="shared" si="11"/>
        <v>0.565152780689544</v>
      </c>
      <c r="J42" s="1303">
        <f t="shared" si="12"/>
        <v>0.56557525839217926</v>
      </c>
      <c r="K42" s="1303">
        <f t="shared" si="13"/>
        <v>0.54537409145361537</v>
      </c>
      <c r="L42" s="1303">
        <f t="shared" si="14"/>
        <v>0</v>
      </c>
      <c r="M42" s="1304">
        <f t="shared" si="15"/>
        <v>0.99902867997543898</v>
      </c>
      <c r="N42" s="1302">
        <f>IF('Mkt Pen Veh-Mi'!N41=0,$N$5,($N$5-SUMPRODUCT(O42:S42,'Mkt Pen Veh-Mi'!O41:S41))/'Mkt Pen Veh-Mi'!N41)</f>
        <v>0.38873199991923363</v>
      </c>
      <c r="O42" s="1303">
        <f t="shared" si="16"/>
        <v>0.4105420238685018</v>
      </c>
      <c r="P42" s="1303">
        <f t="shared" si="17"/>
        <v>0.41258951842814262</v>
      </c>
      <c r="Q42" s="1303">
        <f t="shared" si="18"/>
        <v>0.41251408151751057</v>
      </c>
      <c r="R42" s="1303">
        <f t="shared" si="19"/>
        <v>0.31856190146520691</v>
      </c>
      <c r="S42" s="1304">
        <f t="shared" si="20"/>
        <v>0.10027606420278205</v>
      </c>
    </row>
    <row r="43" spans="1:19" x14ac:dyDescent="0.25">
      <c r="A43" s="1305">
        <v>2040</v>
      </c>
      <c r="B43" s="1306">
        <f>IF('Mkt Pen Veh-Mi'!B42=0,$B$5,($B$5-SUMPRODUCT(C43:G43,'Mkt Pen Veh-Mi'!C42:G42))/'Mkt Pen Veh-Mi'!B42)</f>
        <v>0.30956275486493084</v>
      </c>
      <c r="C43" s="1307">
        <f t="shared" si="6"/>
        <v>0.21398850797975705</v>
      </c>
      <c r="D43" s="1307">
        <f t="shared" si="7"/>
        <v>0.2141765112233496</v>
      </c>
      <c r="E43" s="1307">
        <f t="shared" si="8"/>
        <v>0.20197005523673725</v>
      </c>
      <c r="F43" s="1307">
        <f t="shared" si="9"/>
        <v>0.12990352112908407</v>
      </c>
      <c r="G43" s="1308">
        <f t="shared" si="10"/>
        <v>0.98594984595097135</v>
      </c>
      <c r="H43" s="1328">
        <f>IF('Mkt Pen Veh-Mi'!H42=0,$H$5,($H$5-SUMPRODUCT(I43:M43,'Mkt Pen Veh-Mi'!I42:M42))/'Mkt Pen Veh-Mi'!H42)</f>
        <v>0.60015246809342571</v>
      </c>
      <c r="I43" s="1329">
        <f t="shared" si="11"/>
        <v>0.54914928099494931</v>
      </c>
      <c r="J43" s="1329">
        <f t="shared" si="12"/>
        <v>0.54969244817188856</v>
      </c>
      <c r="K43" s="1329">
        <f t="shared" si="13"/>
        <v>0.53480940513213493</v>
      </c>
      <c r="L43" s="1329">
        <f t="shared" si="14"/>
        <v>0</v>
      </c>
      <c r="M43" s="1330">
        <f t="shared" si="15"/>
        <v>0.9981698372038893</v>
      </c>
      <c r="N43" s="1302">
        <f>IF('Mkt Pen Veh-Mi'!N42=0,$N$5,($N$5-SUMPRODUCT(O43:S43,'Mkt Pen Veh-Mi'!O42:S42))/'Mkt Pen Veh-Mi'!N42)</f>
        <v>0.39732587269390046</v>
      </c>
      <c r="O43" s="1303">
        <f t="shared" si="16"/>
        <v>0.4066445571270032</v>
      </c>
      <c r="P43" s="1303">
        <f t="shared" si="17"/>
        <v>0.40225709854674163</v>
      </c>
      <c r="Q43" s="1303">
        <f t="shared" si="18"/>
        <v>0.41191910104181989</v>
      </c>
      <c r="R43" s="1303">
        <f t="shared" si="19"/>
        <v>0.32940790189454383</v>
      </c>
      <c r="S43" s="1304">
        <f t="shared" si="20"/>
        <v>0.18315564445656432</v>
      </c>
    </row>
    <row r="44" spans="1:19" x14ac:dyDescent="0.25">
      <c r="A44" s="1299">
        <v>2041</v>
      </c>
      <c r="B44" s="1309">
        <f>IF('Mkt Pen Veh-Mi'!B43=0,$B$5,($B$5-SUMPRODUCT(C44:G44,'Mkt Pen Veh-Mi'!C43:G43))/'Mkt Pen Veh-Mi'!B43)</f>
        <v>0.30956306287793295</v>
      </c>
      <c r="C44" s="1310">
        <f t="shared" si="6"/>
        <v>0.20306087819948568</v>
      </c>
      <c r="D44" s="1310">
        <f t="shared" si="7"/>
        <v>0.20322805097880606</v>
      </c>
      <c r="E44" s="1310">
        <f t="shared" si="8"/>
        <v>0.19135405128208494</v>
      </c>
      <c r="F44" s="1310">
        <f t="shared" si="9"/>
        <v>0.13054900534720851</v>
      </c>
      <c r="G44" s="1311">
        <f t="shared" si="10"/>
        <v>0.97968021187730125</v>
      </c>
      <c r="H44" s="1309">
        <f>IF('Mkt Pen Veh-Mi'!H43=0,$H$5,($H$5-SUMPRODUCT(I44:M44,'Mkt Pen Veh-Mi'!I43:M43))/'Mkt Pen Veh-Mi'!H43)</f>
        <v>0.60015246186854088</v>
      </c>
      <c r="I44" s="1310">
        <f t="shared" si="11"/>
        <v>0.54029228320467371</v>
      </c>
      <c r="J44" s="1310">
        <f t="shared" si="12"/>
        <v>0.5408553905041702</v>
      </c>
      <c r="K44" s="1310">
        <f t="shared" si="13"/>
        <v>0.53181139916666031</v>
      </c>
      <c r="L44" s="1310">
        <f t="shared" si="14"/>
        <v>0</v>
      </c>
      <c r="M44" s="1311">
        <f t="shared" si="15"/>
        <v>0.99665448844346372</v>
      </c>
      <c r="N44" s="1309">
        <f>IF('Mkt Pen Veh-Mi'!N43=0,$N$5,($N$5-SUMPRODUCT(O44:S44,'Mkt Pen Veh-Mi'!O43:S43))/'Mkt Pen Veh-Mi'!N43)</f>
        <v>0.39949493873778169</v>
      </c>
      <c r="O44" s="1310">
        <f t="shared" si="16"/>
        <v>0.4059620713258143</v>
      </c>
      <c r="P44" s="1310">
        <f t="shared" si="17"/>
        <v>0.40031162453425112</v>
      </c>
      <c r="Q44" s="1310">
        <f t="shared" si="18"/>
        <v>0.4112492567723276</v>
      </c>
      <c r="R44" s="1310">
        <f t="shared" si="19"/>
        <v>0.34434061412232614</v>
      </c>
      <c r="S44" s="1311">
        <f t="shared" si="20"/>
        <v>0.2605965480931684</v>
      </c>
    </row>
    <row r="45" spans="1:19" x14ac:dyDescent="0.25">
      <c r="A45" s="1299">
        <v>2042</v>
      </c>
      <c r="B45" s="1302">
        <f>IF('Mkt Pen Veh-Mi'!B44=0,$B$5,($B$5-SUMPRODUCT(C45:G45,'Mkt Pen Veh-Mi'!C44:G44))/'Mkt Pen Veh-Mi'!B44)</f>
        <v>0.30956317619018114</v>
      </c>
      <c r="C45" s="1303">
        <f t="shared" si="6"/>
        <v>0.19644756409594114</v>
      </c>
      <c r="D45" s="1303">
        <f t="shared" si="7"/>
        <v>0.19656474711539076</v>
      </c>
      <c r="E45" s="1303">
        <f t="shared" si="8"/>
        <v>0.18560208419738825</v>
      </c>
      <c r="F45" s="1303">
        <f t="shared" si="9"/>
        <v>0.11489092109392485</v>
      </c>
      <c r="G45" s="1304">
        <f t="shared" si="10"/>
        <v>0.96795420317492775</v>
      </c>
      <c r="H45" s="1302">
        <f>IF('Mkt Pen Veh-Mi'!H44=0,$H$5,($H$5-SUMPRODUCT(I45:M45,'Mkt Pen Veh-Mi'!I44:M44))/'Mkt Pen Veh-Mi'!H44)</f>
        <v>0.58332521699823581</v>
      </c>
      <c r="I45" s="1303">
        <f t="shared" si="11"/>
        <v>0.54386376816023241</v>
      </c>
      <c r="J45" s="1303">
        <f t="shared" si="12"/>
        <v>0.54237055406843482</v>
      </c>
      <c r="K45" s="1303">
        <f t="shared" si="13"/>
        <v>0.52771772336717115</v>
      </c>
      <c r="L45" s="1303">
        <f t="shared" si="14"/>
        <v>0</v>
      </c>
      <c r="M45" s="1304">
        <f t="shared" si="15"/>
        <v>0.99411859724324669</v>
      </c>
      <c r="N45" s="1302">
        <f>IF('Mkt Pen Veh-Mi'!N44=0,$N$5,($N$5-SUMPRODUCT(O45:S45,'Mkt Pen Veh-Mi'!O44:S44))/'Mkt Pen Veh-Mi'!N44)</f>
        <v>0.39570922427639471</v>
      </c>
      <c r="O45" s="1303">
        <f t="shared" si="16"/>
        <v>0.4082436375436001</v>
      </c>
      <c r="P45" s="1303">
        <f t="shared" si="17"/>
        <v>0.40542172760716472</v>
      </c>
      <c r="Q45" s="1303">
        <f t="shared" si="18"/>
        <v>0.40522615977430487</v>
      </c>
      <c r="R45" s="1303">
        <f t="shared" si="19"/>
        <v>0.36517302323226625</v>
      </c>
      <c r="S45" s="1304">
        <f t="shared" si="20"/>
        <v>0.34628884024497725</v>
      </c>
    </row>
    <row r="46" spans="1:19" x14ac:dyDescent="0.25">
      <c r="A46" s="1299">
        <v>2043</v>
      </c>
      <c r="B46" s="1302">
        <f>IF('Mkt Pen Veh-Mi'!B45=0,$B$5,($B$5-SUMPRODUCT(C46:G46,'Mkt Pen Veh-Mi'!C45:G45))/'Mkt Pen Veh-Mi'!B45)</f>
        <v>0.30956321787551594</v>
      </c>
      <c r="C46" s="1303">
        <f t="shared" si="6"/>
        <v>0.19457616559224902</v>
      </c>
      <c r="D46" s="1303">
        <f t="shared" si="7"/>
        <v>0.19469669838449336</v>
      </c>
      <c r="E46" s="1303">
        <f t="shared" si="8"/>
        <v>0.18418959835616916</v>
      </c>
      <c r="F46" s="1303">
        <f t="shared" si="9"/>
        <v>0.13078929930405303</v>
      </c>
      <c r="G46" s="1304">
        <f t="shared" si="10"/>
        <v>0.94922548540628537</v>
      </c>
      <c r="H46" s="1302">
        <f>IF('Mkt Pen Veh-Mi'!H45=0,$H$5,($H$5-SUMPRODUCT(I46:M46,'Mkt Pen Veh-Mi'!I45:M45))/'Mkt Pen Veh-Mi'!H45)</f>
        <v>0.50908271720216236</v>
      </c>
      <c r="I46" s="1303">
        <f t="shared" si="11"/>
        <v>0.55585515818066389</v>
      </c>
      <c r="J46" s="1303">
        <f t="shared" si="12"/>
        <v>0.5543962408871449</v>
      </c>
      <c r="K46" s="1303">
        <f t="shared" si="13"/>
        <v>0.53865238145975802</v>
      </c>
      <c r="L46" s="1303">
        <f t="shared" si="14"/>
        <v>0.19576707828374426</v>
      </c>
      <c r="M46" s="1304">
        <f t="shared" si="15"/>
        <v>0.99061706195558141</v>
      </c>
      <c r="N46" s="1302">
        <f>IF('Mkt Pen Veh-Mi'!N45=0,$N$5,($N$5-SUMPRODUCT(O46:S46,'Mkt Pen Veh-Mi'!O45:S45))/'Mkt Pen Veh-Mi'!N45)</f>
        <v>0.39570922403709347</v>
      </c>
      <c r="O46" s="1303">
        <f t="shared" si="16"/>
        <v>0.40707928397320819</v>
      </c>
      <c r="P46" s="1303">
        <f t="shared" si="17"/>
        <v>0.40487503895771276</v>
      </c>
      <c r="Q46" s="1303">
        <f t="shared" si="18"/>
        <v>0.40332913544062482</v>
      </c>
      <c r="R46" s="1303">
        <f t="shared" si="19"/>
        <v>0.3760482114098756</v>
      </c>
      <c r="S46" s="1304">
        <f t="shared" si="20"/>
        <v>0.38758397621770868</v>
      </c>
    </row>
    <row r="47" spans="1:19" x14ac:dyDescent="0.25">
      <c r="A47" s="1299">
        <v>2044</v>
      </c>
      <c r="B47" s="1302">
        <f>IF('Mkt Pen Veh-Mi'!B46=0,$B$5,($B$5-SUMPRODUCT(C47:G47,'Mkt Pen Veh-Mi'!C46:G46))/'Mkt Pen Veh-Mi'!B46)</f>
        <v>0.30956323321069823</v>
      </c>
      <c r="C47" s="1303">
        <f t="shared" si="6"/>
        <v>0.19362519998556718</v>
      </c>
      <c r="D47" s="1303">
        <f t="shared" si="7"/>
        <v>0.193807170665766</v>
      </c>
      <c r="E47" s="1303">
        <f t="shared" si="8"/>
        <v>0.18427839534159404</v>
      </c>
      <c r="F47" s="1303">
        <f t="shared" si="9"/>
        <v>0.14977759251280887</v>
      </c>
      <c r="G47" s="1304">
        <f t="shared" si="10"/>
        <v>0.93721891606706509</v>
      </c>
      <c r="H47" s="1302">
        <f>IF('Mkt Pen Veh-Mi'!H46=0,$H$5,($H$5-SUMPRODUCT(I47:M47,'Mkt Pen Veh-Mi'!I46:M46))/'Mkt Pen Veh-Mi'!H46)</f>
        <v>0.43261665386950526</v>
      </c>
      <c r="I47" s="1303">
        <f t="shared" si="11"/>
        <v>0.56253527318213692</v>
      </c>
      <c r="J47" s="1303">
        <f t="shared" si="12"/>
        <v>0.56213029760084499</v>
      </c>
      <c r="K47" s="1303">
        <f t="shared" si="13"/>
        <v>0.55229573207310323</v>
      </c>
      <c r="L47" s="1303">
        <f t="shared" si="14"/>
        <v>0.44831355414906393</v>
      </c>
      <c r="M47" s="1304">
        <f t="shared" si="15"/>
        <v>0.9884923765462903</v>
      </c>
      <c r="N47" s="1302">
        <f>IF('Mkt Pen Veh-Mi'!N46=0,$N$5,($N$5-SUMPRODUCT(O47:S47,'Mkt Pen Veh-Mi'!O46:S46))/'Mkt Pen Veh-Mi'!N46)</f>
        <v>0.39946467631083982</v>
      </c>
      <c r="O47" s="1303">
        <f t="shared" si="16"/>
        <v>0.40312532224672731</v>
      </c>
      <c r="P47" s="1303">
        <f t="shared" si="17"/>
        <v>0.39926940992133964</v>
      </c>
      <c r="Q47" s="1303">
        <f t="shared" si="18"/>
        <v>0.40679126351877731</v>
      </c>
      <c r="R47" s="1303">
        <f t="shared" si="19"/>
        <v>0.37590066124212607</v>
      </c>
      <c r="S47" s="1304">
        <f t="shared" si="20"/>
        <v>0.40302161797287644</v>
      </c>
    </row>
    <row r="48" spans="1:19" x14ac:dyDescent="0.25">
      <c r="A48" s="1305">
        <v>2045</v>
      </c>
      <c r="B48" s="1306">
        <f>IF('Mkt Pen Veh-Mi'!B47=0,$B$5,($B$5-SUMPRODUCT(C48:G48,'Mkt Pen Veh-Mi'!C47:G47))/'Mkt Pen Veh-Mi'!B47)</f>
        <v>0.30956323885220322</v>
      </c>
      <c r="C48" s="1307">
        <f t="shared" si="6"/>
        <v>0.19364049100777889</v>
      </c>
      <c r="D48" s="1307">
        <f t="shared" si="7"/>
        <v>0.19382735995584402</v>
      </c>
      <c r="E48" s="1307">
        <f t="shared" si="8"/>
        <v>0.18311469620803245</v>
      </c>
      <c r="F48" s="1307">
        <f t="shared" si="9"/>
        <v>0.16132072312027726</v>
      </c>
      <c r="G48" s="1308">
        <f t="shared" si="10"/>
        <v>0.90534606258620187</v>
      </c>
      <c r="H48" s="1306">
        <f>IF('Mkt Pen Veh-Mi'!H47=0,$H$5,($H$5-SUMPRODUCT(I48:M48,'Mkt Pen Veh-Mi'!I47:M47))/'Mkt Pen Veh-Mi'!H47)</f>
        <v>0.37157177078343401</v>
      </c>
      <c r="I48" s="1307">
        <f t="shared" si="11"/>
        <v>0.56720516637270968</v>
      </c>
      <c r="J48" s="1307">
        <f t="shared" si="12"/>
        <v>0.56680616096884417</v>
      </c>
      <c r="K48" s="1307">
        <f t="shared" si="13"/>
        <v>0.55971501704473281</v>
      </c>
      <c r="L48" s="1307">
        <f t="shared" si="14"/>
        <v>0.52213914536504313</v>
      </c>
      <c r="M48" s="1308">
        <f t="shared" si="15"/>
        <v>0.9817769429920421</v>
      </c>
      <c r="N48" s="1306">
        <f>IF('Mkt Pen Veh-Mi'!N47=0,$N$5,($N$5-SUMPRODUCT(O48:S48,'Mkt Pen Veh-Mi'!O47:S47))/'Mkt Pen Veh-Mi'!N47)</f>
        <v>0.39570922391667374</v>
      </c>
      <c r="O48" s="1307">
        <f t="shared" si="16"/>
        <v>0.4057241048628325</v>
      </c>
      <c r="P48" s="1307">
        <f t="shared" si="17"/>
        <v>0.40470715578822752</v>
      </c>
      <c r="Q48" s="1307">
        <f t="shared" si="18"/>
        <v>0.40852764172946937</v>
      </c>
      <c r="R48" s="1307">
        <f t="shared" si="19"/>
        <v>0.37668127814167301</v>
      </c>
      <c r="S48" s="1308">
        <f t="shared" si="20"/>
        <v>0.40410428718342989</v>
      </c>
    </row>
    <row r="49" spans="1:19" x14ac:dyDescent="0.25">
      <c r="A49" s="1299">
        <v>2046</v>
      </c>
      <c r="B49" s="1309">
        <f>IF('Mkt Pen Veh-Mi'!B48=0,$B$5,($B$5-SUMPRODUCT(C49:G49,'Mkt Pen Veh-Mi'!C48:G48))/'Mkt Pen Veh-Mi'!B48)</f>
        <v>0.31435862618948529</v>
      </c>
      <c r="C49" s="1310">
        <f t="shared" si="6"/>
        <v>0.19290480945643254</v>
      </c>
      <c r="D49" s="1310">
        <f t="shared" si="7"/>
        <v>0.19321988246276336</v>
      </c>
      <c r="E49" s="1310">
        <f t="shared" si="8"/>
        <v>0.18484211790959859</v>
      </c>
      <c r="F49" s="1310">
        <f t="shared" si="9"/>
        <v>0.17051906547622056</v>
      </c>
      <c r="G49" s="1311">
        <f t="shared" si="10"/>
        <v>0.86091422013892205</v>
      </c>
      <c r="H49" s="1309">
        <f>IF('Mkt Pen Veh-Mi'!H48=0,$H$5,($H$5-SUMPRODUCT(I49:M49,'Mkt Pen Veh-Mi'!I48:M48))/'Mkt Pen Veh-Mi'!H48)</f>
        <v>0.33207313094453261</v>
      </c>
      <c r="I49" s="1310">
        <f t="shared" si="11"/>
        <v>0.56917559399726925</v>
      </c>
      <c r="J49" s="1310">
        <f t="shared" si="12"/>
        <v>0.56965019088454261</v>
      </c>
      <c r="K49" s="1310">
        <f t="shared" si="13"/>
        <v>0.56509198757565782</v>
      </c>
      <c r="L49" s="1310">
        <f t="shared" si="14"/>
        <v>0.53837626988757714</v>
      </c>
      <c r="M49" s="1311">
        <f t="shared" si="15"/>
        <v>0.97229026221288728</v>
      </c>
      <c r="N49" s="1309">
        <f>IF('Mkt Pen Veh-Mi'!N48=0,$N$5,($N$5-SUMPRODUCT(O49:S49,'Mkt Pen Veh-Mi'!O48:S48))/'Mkt Pen Veh-Mi'!N48)</f>
        <v>0.39732587116868834</v>
      </c>
      <c r="O49" s="1310">
        <f t="shared" si="16"/>
        <v>0.40639367565189205</v>
      </c>
      <c r="P49" s="1310">
        <f t="shared" si="17"/>
        <v>0.4027492509532094</v>
      </c>
      <c r="Q49" s="1310">
        <f t="shared" si="18"/>
        <v>0.40690837710314548</v>
      </c>
      <c r="R49" s="1310">
        <f t="shared" si="19"/>
        <v>0.38324336242504403</v>
      </c>
      <c r="S49" s="1311">
        <f t="shared" si="20"/>
        <v>0.39556537158092764</v>
      </c>
    </row>
    <row r="50" spans="1:19" x14ac:dyDescent="0.25">
      <c r="A50" s="1299">
        <v>2047</v>
      </c>
      <c r="B50" s="1302">
        <f>IF('Mkt Pen Veh-Mi'!B49=0,$B$5,($B$5-SUMPRODUCT(C50:G50,'Mkt Pen Veh-Mi'!C49:G49))/'Mkt Pen Veh-Mi'!B49)</f>
        <v>0.31271540938064668</v>
      </c>
      <c r="C50" s="1303">
        <f t="shared" si="6"/>
        <v>0.19338830565000939</v>
      </c>
      <c r="D50" s="1303">
        <f t="shared" si="7"/>
        <v>0.19368967914022203</v>
      </c>
      <c r="E50" s="1303">
        <f t="shared" si="8"/>
        <v>0.18550072840955031</v>
      </c>
      <c r="F50" s="1303">
        <f t="shared" si="9"/>
        <v>0.17478457404136813</v>
      </c>
      <c r="G50" s="1304">
        <f t="shared" si="10"/>
        <v>0.80649707874790888</v>
      </c>
      <c r="H50" s="1302">
        <f>IF('Mkt Pen Veh-Mi'!H49=0,$H$5,($H$5-SUMPRODUCT(I50:M50,'Mkt Pen Veh-Mi'!I49:M49))/'Mkt Pen Veh-Mi'!H49)</f>
        <v>0.3035364573117843</v>
      </c>
      <c r="I50" s="1303">
        <f t="shared" si="11"/>
        <v>0.57162438282088845</v>
      </c>
      <c r="J50" s="1303">
        <f t="shared" si="12"/>
        <v>0.57104321928904</v>
      </c>
      <c r="K50" s="1303">
        <f t="shared" si="13"/>
        <v>0.57014161643075545</v>
      </c>
      <c r="L50" s="1303">
        <f t="shared" si="14"/>
        <v>0.55996001342004287</v>
      </c>
      <c r="M50" s="1304">
        <f t="shared" si="15"/>
        <v>0.95899878915677172</v>
      </c>
      <c r="N50" s="1302">
        <f>IF('Mkt Pen Veh-Mi'!N49=0,$N$5,($N$5-SUMPRODUCT(O50:S50,'Mkt Pen Veh-Mi'!O49:S49))/'Mkt Pen Veh-Mi'!N49)</f>
        <v>0.38873197842074669</v>
      </c>
      <c r="O50" s="1303">
        <f t="shared" si="16"/>
        <v>0.4096037138142275</v>
      </c>
      <c r="P50" s="1303">
        <f t="shared" si="17"/>
        <v>0.41481507281596802</v>
      </c>
      <c r="Q50" s="1303">
        <f t="shared" si="18"/>
        <v>0.40301234795953733</v>
      </c>
      <c r="R50" s="1303">
        <f t="shared" si="19"/>
        <v>0.38907810974869406</v>
      </c>
      <c r="S50" s="1304">
        <f t="shared" si="20"/>
        <v>0.40870454495609715</v>
      </c>
    </row>
    <row r="51" spans="1:19" x14ac:dyDescent="0.25">
      <c r="A51" s="1299">
        <v>2048</v>
      </c>
      <c r="B51" s="1302">
        <f>IF('Mkt Pen Veh-Mi'!B50=0,$B$5,($B$5-SUMPRODUCT(C51:G51,'Mkt Pen Veh-Mi'!C50:G50))/'Mkt Pen Veh-Mi'!B50)</f>
        <v>0.3143586261894864</v>
      </c>
      <c r="C51" s="1303">
        <f t="shared" si="6"/>
        <v>0.19332401864459675</v>
      </c>
      <c r="D51" s="1303">
        <f t="shared" si="7"/>
        <v>0.19364594849117686</v>
      </c>
      <c r="E51" s="1303">
        <f t="shared" si="8"/>
        <v>0.18564992002037908</v>
      </c>
      <c r="F51" s="1303">
        <f t="shared" si="9"/>
        <v>0.17727003451555248</v>
      </c>
      <c r="G51" s="1304">
        <f t="shared" si="10"/>
        <v>0.77619453971899555</v>
      </c>
      <c r="H51" s="1302">
        <f>IF('Mkt Pen Veh-Mi'!H50=0,$H$5,($H$5-SUMPRODUCT(I51:M51,'Mkt Pen Veh-Mi'!I50:M50))/'Mkt Pen Veh-Mi'!H50)</f>
        <v>0.23905478418055162</v>
      </c>
      <c r="I51" s="1303">
        <f t="shared" si="11"/>
        <v>0.5749501944304477</v>
      </c>
      <c r="J51" s="1303">
        <f t="shared" si="12"/>
        <v>0.57437423954600575</v>
      </c>
      <c r="K51" s="1303">
        <f t="shared" si="13"/>
        <v>0.57111547309485888</v>
      </c>
      <c r="L51" s="1303">
        <f t="shared" si="14"/>
        <v>0.57332777050168426</v>
      </c>
      <c r="M51" s="1304">
        <f t="shared" si="15"/>
        <v>0.95141998932886718</v>
      </c>
      <c r="N51" s="1302">
        <f>IF('Mkt Pen Veh-Mi'!N50=0,$N$5,($N$5-SUMPRODUCT(O51:S51,'Mkt Pen Veh-Mi'!O50:S50))/'Mkt Pen Veh-Mi'!N50)</f>
        <v>0.38873197842074647</v>
      </c>
      <c r="O51" s="1303">
        <f t="shared" si="16"/>
        <v>0.40723613515543916</v>
      </c>
      <c r="P51" s="1303">
        <f t="shared" si="17"/>
        <v>0.41197503295074001</v>
      </c>
      <c r="Q51" s="1303">
        <f t="shared" si="18"/>
        <v>0.40121349120807054</v>
      </c>
      <c r="R51" s="1303">
        <f t="shared" si="19"/>
        <v>0.39503200802846417</v>
      </c>
      <c r="S51" s="1304">
        <f t="shared" si="20"/>
        <v>0.41549339146219616</v>
      </c>
    </row>
    <row r="52" spans="1:19" x14ac:dyDescent="0.25">
      <c r="A52" s="1299">
        <v>2049</v>
      </c>
      <c r="B52" s="1302">
        <f>IF('Mkt Pen Veh-Mi'!B51=0,$B$5,($B$5-SUMPRODUCT(C52:G52,'Mkt Pen Veh-Mi'!C51:G51))/'Mkt Pen Veh-Mi'!B51)</f>
        <v>0.31271540938064485</v>
      </c>
      <c r="C52" s="1303">
        <f t="shared" si="6"/>
        <v>0.19360163225855917</v>
      </c>
      <c r="D52" s="1303">
        <f t="shared" si="7"/>
        <v>0.19390465639305005</v>
      </c>
      <c r="E52" s="1303">
        <f t="shared" si="8"/>
        <v>0.18778941852580569</v>
      </c>
      <c r="F52" s="1303">
        <f t="shared" si="9"/>
        <v>0.17934650516475281</v>
      </c>
      <c r="G52" s="1304">
        <f t="shared" si="10"/>
        <v>0.71178557787568619</v>
      </c>
      <c r="H52" s="1302">
        <f>IF('Mkt Pen Veh-Mi'!H51=0,$H$5,($H$5-SUMPRODUCT(I52:M52,'Mkt Pen Veh-Mi'!I51:M51))/'Mkt Pen Veh-Mi'!H51)</f>
        <v>0.20370765655306308</v>
      </c>
      <c r="I52" s="1303">
        <f t="shared" si="11"/>
        <v>0.57696567615845717</v>
      </c>
      <c r="J52" s="1303">
        <f t="shared" si="12"/>
        <v>0.57638919423871748</v>
      </c>
      <c r="K52" s="1303">
        <f t="shared" si="13"/>
        <v>0.57593356110870797</v>
      </c>
      <c r="L52" s="1303">
        <f t="shared" si="14"/>
        <v>0.57106913079991395</v>
      </c>
      <c r="M52" s="1304">
        <f t="shared" si="15"/>
        <v>0.93256449618521842</v>
      </c>
      <c r="N52" s="1302">
        <f>IF('Mkt Pen Veh-Mi'!N51=0,$N$5,($N$5-SUMPRODUCT(O52:S52,'Mkt Pen Veh-Mi'!O51:S51))/'Mkt Pen Veh-Mi'!N51)</f>
        <v>0.39591035450976464</v>
      </c>
      <c r="O52" s="1303">
        <f t="shared" si="16"/>
        <v>0.4059741340810748</v>
      </c>
      <c r="P52" s="1303">
        <f t="shared" si="17"/>
        <v>0.40372461176168678</v>
      </c>
      <c r="Q52" s="1303">
        <f t="shared" si="18"/>
        <v>0.40215419572174227</v>
      </c>
      <c r="R52" s="1303">
        <f t="shared" si="19"/>
        <v>0.3851040872410097</v>
      </c>
      <c r="S52" s="1304">
        <f t="shared" si="20"/>
        <v>0.41047903025116667</v>
      </c>
    </row>
    <row r="53" spans="1:19" ht="15.75" thickBot="1" x14ac:dyDescent="0.3">
      <c r="A53" s="1312">
        <v>2050</v>
      </c>
      <c r="B53" s="1313">
        <f>IF('Mkt Pen Veh-Mi'!B52=0,$B$5,($B$5-SUMPRODUCT(C53:G53,'Mkt Pen Veh-Mi'!C52:G52))/'Mkt Pen Veh-Mi'!B52)</f>
        <v>0.31271540938064857</v>
      </c>
      <c r="C53" s="1314">
        <f t="shared" si="6"/>
        <v>0.19473858457144855</v>
      </c>
      <c r="D53" s="1314">
        <f t="shared" si="7"/>
        <v>0.19504303861764591</v>
      </c>
      <c r="E53" s="1314">
        <f t="shared" si="8"/>
        <v>0.18856624608376565</v>
      </c>
      <c r="F53" s="1314">
        <f t="shared" si="9"/>
        <v>0.17854411146215304</v>
      </c>
      <c r="G53" s="1315">
        <f t="shared" si="10"/>
        <v>0.67806014542042969</v>
      </c>
      <c r="H53" s="1313">
        <f>IF('Mkt Pen Veh-Mi'!H52=0,$H$5,($H$5-SUMPRODUCT(I53:M53,'Mkt Pen Veh-Mi'!I52:M52))/'Mkt Pen Veh-Mi'!H52)</f>
        <v>0.17103502676528157</v>
      </c>
      <c r="I53" s="1314">
        <f t="shared" si="11"/>
        <v>0.57827754758301742</v>
      </c>
      <c r="J53" s="1314">
        <f t="shared" si="12"/>
        <v>0.57770090332988633</v>
      </c>
      <c r="K53" s="1314">
        <f t="shared" si="13"/>
        <v>0.57807260548522577</v>
      </c>
      <c r="L53" s="1314">
        <f t="shared" si="14"/>
        <v>0.58510097755554913</v>
      </c>
      <c r="M53" s="1315">
        <f t="shared" si="15"/>
        <v>0.92074230034925586</v>
      </c>
      <c r="N53" s="1313">
        <f>IF('Mkt Pen Veh-Mi'!N52=0,$N$5,($N$5-SUMPRODUCT(O53:S53,'Mkt Pen Veh-Mi'!O52:S52))/'Mkt Pen Veh-Mi'!N52)</f>
        <v>0.39591035450976447</v>
      </c>
      <c r="O53" s="1314">
        <f t="shared" si="16"/>
        <v>0.40668470118170696</v>
      </c>
      <c r="P53" s="1314">
        <f t="shared" si="17"/>
        <v>0.40479640478323009</v>
      </c>
      <c r="Q53" s="1314">
        <f t="shared" si="18"/>
        <v>0.40244031829817178</v>
      </c>
      <c r="R53" s="1314">
        <f t="shared" si="19"/>
        <v>0.38568239974251378</v>
      </c>
      <c r="S53" s="1315">
        <f t="shared" si="20"/>
        <v>0.40535642690470247</v>
      </c>
    </row>
    <row r="55" spans="1:19" x14ac:dyDescent="0.25">
      <c r="K55" s="1284">
        <f>MATCH($A53,$A$10:$A$53,0)</f>
        <v>44</v>
      </c>
    </row>
    <row r="56" spans="1:19" x14ac:dyDescent="0.25">
      <c r="K56" s="1284">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284"/>
    <col min="2" max="19" width="13.5703125" style="1284" customWidth="1"/>
    <col min="20" max="16384" width="9.140625" style="1284"/>
  </cols>
  <sheetData>
    <row r="1" spans="1:19" ht="15.75" x14ac:dyDescent="0.25">
      <c r="A1" s="1316" t="s">
        <v>324</v>
      </c>
    </row>
    <row r="3" spans="1:19" ht="15.75" thickBot="1" x14ac:dyDescent="0.3"/>
    <row r="4" spans="1:19" x14ac:dyDescent="0.25">
      <c r="A4" s="1285"/>
      <c r="B4" s="1618" t="s">
        <v>258</v>
      </c>
      <c r="C4" s="1619"/>
      <c r="D4" s="1619"/>
      <c r="E4" s="1619"/>
      <c r="F4" s="1619"/>
      <c r="G4" s="1620"/>
      <c r="H4" s="1618" t="s">
        <v>259</v>
      </c>
      <c r="I4" s="1619"/>
      <c r="J4" s="1619"/>
      <c r="K4" s="1619"/>
      <c r="L4" s="1619"/>
      <c r="M4" s="1620"/>
      <c r="N4" s="1618" t="s">
        <v>156</v>
      </c>
      <c r="O4" s="1619"/>
      <c r="P4" s="1619"/>
      <c r="Q4" s="1619"/>
      <c r="R4" s="1619"/>
      <c r="S4" s="1620"/>
    </row>
    <row r="5" spans="1:19" x14ac:dyDescent="0.25">
      <c r="A5" s="1286"/>
      <c r="B5" s="1621" t="s">
        <v>129</v>
      </c>
      <c r="C5" s="1622"/>
      <c r="D5" s="1622"/>
      <c r="E5" s="1622"/>
      <c r="F5" s="1622"/>
      <c r="G5" s="1623"/>
      <c r="H5" s="1621" t="s">
        <v>129</v>
      </c>
      <c r="I5" s="1622"/>
      <c r="J5" s="1622"/>
      <c r="K5" s="1622"/>
      <c r="L5" s="1622"/>
      <c r="M5" s="1623"/>
      <c r="N5" s="1621" t="s">
        <v>129</v>
      </c>
      <c r="O5" s="1622"/>
      <c r="P5" s="1622"/>
      <c r="Q5" s="1622"/>
      <c r="R5" s="1622"/>
      <c r="S5" s="1623"/>
    </row>
    <row r="6" spans="1:19"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row>
    <row r="7" spans="1:19" ht="30" x14ac:dyDescent="0.25">
      <c r="A7" s="1290"/>
      <c r="B7" s="1291" t="str">
        <f t="shared" ref="B7:G7" si="0">INDEX(TECH_OPT_DESC_Cls1,MATCH(B6,TECH_OPT_ROWS_Cls1,0))</f>
        <v>Conventional Diesel ICE</v>
      </c>
      <c r="C7" s="1292" t="str">
        <f t="shared" si="0"/>
        <v>Adv Conv</v>
      </c>
      <c r="D7" s="1292" t="str">
        <f t="shared" si="0"/>
        <v>ISG</v>
      </c>
      <c r="E7" s="1292" t="str">
        <f t="shared" si="0"/>
        <v>HEV</v>
      </c>
      <c r="F7" s="1292" t="str">
        <f t="shared" si="0"/>
        <v>PHEV</v>
      </c>
      <c r="G7" s="1293" t="str">
        <f t="shared"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row>
    <row r="8" spans="1:19" x14ac:dyDescent="0.25">
      <c r="A8" s="1290" t="s">
        <v>323</v>
      </c>
      <c r="B8" s="1331" t="str">
        <f t="shared" ref="B8:G8" si="3">INDEX(TECH_OPT_FUEL2_Cls1,MATCH(B6,TECH_OPT_ROWS_Cls1,0))</f>
        <v>N/A</v>
      </c>
      <c r="C8" s="1332" t="str">
        <f t="shared" si="3"/>
        <v>N/A</v>
      </c>
      <c r="D8" s="1332" t="str">
        <f t="shared" si="3"/>
        <v>N/A</v>
      </c>
      <c r="E8" s="1332" t="str">
        <f t="shared" si="3"/>
        <v>N/A</v>
      </c>
      <c r="F8" s="1332" t="str">
        <f t="shared" si="3"/>
        <v>Electricity</v>
      </c>
      <c r="G8" s="1333" t="str">
        <f t="shared" si="3"/>
        <v>N/A</v>
      </c>
      <c r="H8" s="1331" t="str">
        <f t="shared" ref="H8:M8" si="4">INDEX(TECH_OPT_FUEL2_Cls2,MATCH(H6,TECH_OPT_ROWS_Cls2,0))</f>
        <v>N/A</v>
      </c>
      <c r="I8" s="1332" t="str">
        <f t="shared" si="4"/>
        <v>N/A</v>
      </c>
      <c r="J8" s="1332" t="str">
        <f t="shared" si="4"/>
        <v>N/A</v>
      </c>
      <c r="K8" s="1332" t="str">
        <f t="shared" si="4"/>
        <v>Electricity</v>
      </c>
      <c r="L8" s="1332" t="str">
        <f t="shared" si="4"/>
        <v>N/A</v>
      </c>
      <c r="M8" s="1333" t="str">
        <f t="shared" si="4"/>
        <v>N/A</v>
      </c>
      <c r="N8" s="1331" t="str">
        <f t="shared" ref="N8:S8" si="5">INDEX(TECH_OPT_FUEL2_Cls3,MATCH(N6,TECH_OPT_ROWS_Cls3,0))</f>
        <v>N/A</v>
      </c>
      <c r="O8" s="1332" t="str">
        <f t="shared" si="5"/>
        <v>N/A</v>
      </c>
      <c r="P8" s="1332" t="str">
        <f t="shared" si="5"/>
        <v>N/A</v>
      </c>
      <c r="Q8" s="1332" t="str">
        <f t="shared" si="5"/>
        <v>N/A</v>
      </c>
      <c r="R8" s="1332" t="str">
        <f t="shared" si="5"/>
        <v>Electricity</v>
      </c>
      <c r="S8" s="1333" t="str">
        <f t="shared" si="5"/>
        <v>N/A</v>
      </c>
    </row>
    <row r="9" spans="1:19" ht="15.75" thickBot="1" x14ac:dyDescent="0.3">
      <c r="A9" s="1294" t="s">
        <v>3</v>
      </c>
      <c r="B9" s="1295" t="str">
        <f t="shared" ref="B9:G9" si="6">INDEX(TECH_OPT_FUEL1_Cls1,MATCH(B6,TECH_OPT_ROWS_Cls1,0))</f>
        <v>Diesel</v>
      </c>
      <c r="C9" s="1296" t="str">
        <f t="shared" si="6"/>
        <v>Diesel</v>
      </c>
      <c r="D9" s="1296" t="str">
        <f t="shared" si="6"/>
        <v>Diesel</v>
      </c>
      <c r="E9" s="1296" t="str">
        <f t="shared" si="6"/>
        <v>Diesel</v>
      </c>
      <c r="F9" s="1296" t="str">
        <f t="shared" si="6"/>
        <v>Diesel</v>
      </c>
      <c r="G9" s="1297" t="str">
        <f t="shared" si="6"/>
        <v>Hydrogen</v>
      </c>
      <c r="H9" s="1298" t="str">
        <f t="shared" ref="H9:M9" si="7">INDEX(TECH_OPT_FUEL1_Cls2,MATCH(H6,TECH_OPT_ROWS_Cls2,0))</f>
        <v>Diesel</v>
      </c>
      <c r="I9" s="1296" t="str">
        <f t="shared" si="7"/>
        <v>Diesel</v>
      </c>
      <c r="J9" s="1296" t="str">
        <f t="shared" si="7"/>
        <v>Diesel</v>
      </c>
      <c r="K9" s="1296" t="str">
        <f t="shared" si="7"/>
        <v>Diesel</v>
      </c>
      <c r="L9" s="1296" t="str">
        <f t="shared" si="7"/>
        <v>Electricity</v>
      </c>
      <c r="M9" s="1297" t="str">
        <f t="shared" si="7"/>
        <v>Hydrogen</v>
      </c>
      <c r="N9" s="1295" t="str">
        <f t="shared" ref="N9:S9" si="8">INDEX(TECH_OPT_FUEL1_Cls3,MATCH(N6,TECH_OPT_ROWS_Cls3,0))</f>
        <v>Diesel</v>
      </c>
      <c r="O9" s="1296" t="str">
        <f t="shared" si="8"/>
        <v>Diesel</v>
      </c>
      <c r="P9" s="1296" t="str">
        <f t="shared" si="8"/>
        <v>Diesel</v>
      </c>
      <c r="Q9" s="1296" t="str">
        <f t="shared" si="8"/>
        <v>Diesel</v>
      </c>
      <c r="R9" s="1296" t="str">
        <f t="shared" si="8"/>
        <v>Diesel</v>
      </c>
      <c r="S9" s="1297" t="str">
        <f t="shared" si="8"/>
        <v>Electricity</v>
      </c>
    </row>
    <row r="10" spans="1:19" ht="15.75" thickTop="1" x14ac:dyDescent="0.25">
      <c r="A10" s="1299">
        <v>2007</v>
      </c>
      <c r="B10" s="1300">
        <v>0</v>
      </c>
      <c r="C10" s="1301">
        <f>'7&amp;8 Sleep'!AD76</f>
        <v>0</v>
      </c>
      <c r="D10" s="1301">
        <f>'7&amp;8 Sleep'!AD128</f>
        <v>0</v>
      </c>
      <c r="E10" s="1301">
        <f>'7&amp;8 Sleep'!AD180</f>
        <v>0</v>
      </c>
      <c r="F10" s="1301">
        <f>'7&amp;8 Sleep'!AD233</f>
        <v>0</v>
      </c>
      <c r="G10" s="1326">
        <f>'7&amp;8 Sleep'!AD286</f>
        <v>0</v>
      </c>
      <c r="H10" s="1300">
        <v>0</v>
      </c>
      <c r="I10" s="1301">
        <f>'7&amp;8 Day'!AD76</f>
        <v>0</v>
      </c>
      <c r="J10" s="1301">
        <f>'7&amp;8 Day'!AD128</f>
        <v>0</v>
      </c>
      <c r="K10" s="1301">
        <f>'7&amp;8 Day'!AD180</f>
        <v>0</v>
      </c>
      <c r="L10" s="1301">
        <f>'7&amp;8 Day'!AD233</f>
        <v>0</v>
      </c>
      <c r="M10" s="1327">
        <f>'7&amp;8 Day'!AD286</f>
        <v>0</v>
      </c>
      <c r="N10" s="1300">
        <v>0</v>
      </c>
      <c r="O10" s="1301">
        <f>'7&amp;8 SU'!AD76</f>
        <v>0</v>
      </c>
      <c r="P10" s="1301">
        <f>'7&amp;8 SU'!AD128</f>
        <v>0</v>
      </c>
      <c r="Q10" s="1301">
        <f>'7&amp;8 SU'!AD180</f>
        <v>0</v>
      </c>
      <c r="R10" s="1301">
        <f>'7&amp;8 SU'!AD233</f>
        <v>0</v>
      </c>
      <c r="S10" s="1327">
        <f>'7&amp;8 SU'!AD286</f>
        <v>0</v>
      </c>
    </row>
    <row r="11" spans="1:19" x14ac:dyDescent="0.25">
      <c r="A11" s="1299">
        <v>2008</v>
      </c>
      <c r="B11" s="1302">
        <v>0</v>
      </c>
      <c r="C11" s="1303">
        <f>'7&amp;8 Sleep'!AD77</f>
        <v>0</v>
      </c>
      <c r="D11" s="1303">
        <f>'7&amp;8 Sleep'!AD129</f>
        <v>0</v>
      </c>
      <c r="E11" s="1303">
        <f>'7&amp;8 Sleep'!AD181</f>
        <v>0</v>
      </c>
      <c r="F11" s="1303">
        <f>'7&amp;8 Sleep'!AD234</f>
        <v>0</v>
      </c>
      <c r="G11" s="1304">
        <f>'7&amp;8 Sleep'!AD287</f>
        <v>0</v>
      </c>
      <c r="H11" s="1302">
        <v>0</v>
      </c>
      <c r="I11" s="1303">
        <f>'7&amp;8 Day'!AD77</f>
        <v>0</v>
      </c>
      <c r="J11" s="1303">
        <f>'7&amp;8 Day'!AD129</f>
        <v>0</v>
      </c>
      <c r="K11" s="1303">
        <f>'7&amp;8 Day'!AD181</f>
        <v>0</v>
      </c>
      <c r="L11" s="1303">
        <f>'7&amp;8 Day'!AD234</f>
        <v>0</v>
      </c>
      <c r="M11" s="1304">
        <f>'7&amp;8 Day'!AD287</f>
        <v>0</v>
      </c>
      <c r="N11" s="1302">
        <v>0</v>
      </c>
      <c r="O11" s="1303">
        <f>'7&amp;8 SU'!AD77</f>
        <v>0</v>
      </c>
      <c r="P11" s="1303">
        <f>'7&amp;8 SU'!AD129</f>
        <v>0</v>
      </c>
      <c r="Q11" s="1303">
        <f>'7&amp;8 SU'!AD181</f>
        <v>0</v>
      </c>
      <c r="R11" s="1303">
        <f>'7&amp;8 SU'!AD234</f>
        <v>0</v>
      </c>
      <c r="S11" s="1304">
        <f>'7&amp;8 SU'!AD287</f>
        <v>0</v>
      </c>
    </row>
    <row r="12" spans="1:19" x14ac:dyDescent="0.25">
      <c r="A12" s="1299">
        <v>2009</v>
      </c>
      <c r="B12" s="1302">
        <v>0</v>
      </c>
      <c r="C12" s="1303">
        <f>'7&amp;8 Sleep'!AD78</f>
        <v>0</v>
      </c>
      <c r="D12" s="1303">
        <f>'7&amp;8 Sleep'!AD130</f>
        <v>0</v>
      </c>
      <c r="E12" s="1303">
        <f>'7&amp;8 Sleep'!AD182</f>
        <v>0</v>
      </c>
      <c r="F12" s="1303">
        <f>'7&amp;8 Sleep'!AD235</f>
        <v>0</v>
      </c>
      <c r="G12" s="1304">
        <f>'7&amp;8 Sleep'!AD288</f>
        <v>0</v>
      </c>
      <c r="H12" s="1302">
        <v>0</v>
      </c>
      <c r="I12" s="1303">
        <f>'7&amp;8 Day'!AD78</f>
        <v>0</v>
      </c>
      <c r="J12" s="1303">
        <f>'7&amp;8 Day'!AD130</f>
        <v>0</v>
      </c>
      <c r="K12" s="1303">
        <f>'7&amp;8 Day'!AD182</f>
        <v>0</v>
      </c>
      <c r="L12" s="1303">
        <f>'7&amp;8 Day'!AD235</f>
        <v>0</v>
      </c>
      <c r="M12" s="1304">
        <f>'7&amp;8 Day'!AD288</f>
        <v>0</v>
      </c>
      <c r="N12" s="1302">
        <v>0</v>
      </c>
      <c r="O12" s="1303">
        <f>'7&amp;8 SU'!AD78</f>
        <v>0</v>
      </c>
      <c r="P12" s="1303">
        <f>'7&amp;8 SU'!AD130</f>
        <v>0</v>
      </c>
      <c r="Q12" s="1303">
        <f>'7&amp;8 SU'!AD182</f>
        <v>0</v>
      </c>
      <c r="R12" s="1303">
        <f>'7&amp;8 SU'!AD235</f>
        <v>0</v>
      </c>
      <c r="S12" s="1304">
        <f>'7&amp;8 SU'!AD288</f>
        <v>0</v>
      </c>
    </row>
    <row r="13" spans="1:19" x14ac:dyDescent="0.25">
      <c r="A13" s="1305">
        <v>2010</v>
      </c>
      <c r="B13" s="1306">
        <v>0</v>
      </c>
      <c r="C13" s="1307">
        <f>'7&amp;8 Sleep'!AD79</f>
        <v>0</v>
      </c>
      <c r="D13" s="1307">
        <f>'7&amp;8 Sleep'!AD131</f>
        <v>0</v>
      </c>
      <c r="E13" s="1307">
        <f>'7&amp;8 Sleep'!AD183</f>
        <v>0</v>
      </c>
      <c r="F13" s="1307">
        <f>'7&amp;8 Sleep'!AD236</f>
        <v>0</v>
      </c>
      <c r="G13" s="1308">
        <f>'7&amp;8 Sleep'!AD289</f>
        <v>0</v>
      </c>
      <c r="H13" s="1306">
        <v>0</v>
      </c>
      <c r="I13" s="1307">
        <f>'7&amp;8 Day'!AD79</f>
        <v>0</v>
      </c>
      <c r="J13" s="1307">
        <f>'7&amp;8 Day'!AD131</f>
        <v>0</v>
      </c>
      <c r="K13" s="1307">
        <f>'7&amp;8 Day'!AD183</f>
        <v>0</v>
      </c>
      <c r="L13" s="1307">
        <f>'7&amp;8 Day'!AD236</f>
        <v>0</v>
      </c>
      <c r="M13" s="1308">
        <f>'7&amp;8 Day'!AD289</f>
        <v>0</v>
      </c>
      <c r="N13" s="1306">
        <v>0</v>
      </c>
      <c r="O13" s="1307">
        <f>'7&amp;8 SU'!AD79</f>
        <v>0</v>
      </c>
      <c r="P13" s="1307">
        <f>'7&amp;8 SU'!AD131</f>
        <v>0</v>
      </c>
      <c r="Q13" s="1307">
        <f>'7&amp;8 SU'!AD183</f>
        <v>0</v>
      </c>
      <c r="R13" s="1307">
        <f>'7&amp;8 SU'!AD236</f>
        <v>0</v>
      </c>
      <c r="S13" s="1308">
        <f>'7&amp;8 SU'!AD289</f>
        <v>0</v>
      </c>
    </row>
    <row r="14" spans="1:19" x14ac:dyDescent="0.25">
      <c r="A14" s="1299">
        <v>2011</v>
      </c>
      <c r="B14" s="1309">
        <v>0</v>
      </c>
      <c r="C14" s="1310">
        <f>'7&amp;8 Sleep'!AD80</f>
        <v>0</v>
      </c>
      <c r="D14" s="1310">
        <f>'7&amp;8 Sleep'!AD132</f>
        <v>0</v>
      </c>
      <c r="E14" s="1310">
        <f>'7&amp;8 Sleep'!AD184</f>
        <v>0</v>
      </c>
      <c r="F14" s="1310">
        <f>'7&amp;8 Sleep'!AD237</f>
        <v>0</v>
      </c>
      <c r="G14" s="1311">
        <f>'7&amp;8 Sleep'!AD290</f>
        <v>0</v>
      </c>
      <c r="H14" s="1309">
        <v>0</v>
      </c>
      <c r="I14" s="1310">
        <f>'7&amp;8 Day'!AD80</f>
        <v>0</v>
      </c>
      <c r="J14" s="1310">
        <f>'7&amp;8 Day'!AD132</f>
        <v>0</v>
      </c>
      <c r="K14" s="1310">
        <f>'7&amp;8 Day'!AD184</f>
        <v>0</v>
      </c>
      <c r="L14" s="1310">
        <f>'7&amp;8 Day'!AD237</f>
        <v>0</v>
      </c>
      <c r="M14" s="1311">
        <f>'7&amp;8 Day'!AD290</f>
        <v>0</v>
      </c>
      <c r="N14" s="1309">
        <v>0</v>
      </c>
      <c r="O14" s="1310">
        <f>'7&amp;8 SU'!AD80</f>
        <v>0</v>
      </c>
      <c r="P14" s="1310">
        <f>'7&amp;8 SU'!AD132</f>
        <v>0</v>
      </c>
      <c r="Q14" s="1310">
        <f>'7&amp;8 SU'!AD184</f>
        <v>0</v>
      </c>
      <c r="R14" s="1310">
        <f>'7&amp;8 SU'!AD237</f>
        <v>0</v>
      </c>
      <c r="S14" s="1311">
        <f>'7&amp;8 SU'!AD290</f>
        <v>0</v>
      </c>
    </row>
    <row r="15" spans="1:19" x14ac:dyDescent="0.25">
      <c r="A15" s="1299">
        <v>2012</v>
      </c>
      <c r="B15" s="1302">
        <v>0</v>
      </c>
      <c r="C15" s="1303">
        <f>'7&amp;8 Sleep'!AD81</f>
        <v>0</v>
      </c>
      <c r="D15" s="1303">
        <f>'7&amp;8 Sleep'!AD133</f>
        <v>0</v>
      </c>
      <c r="E15" s="1303">
        <f>'7&amp;8 Sleep'!AD185</f>
        <v>0</v>
      </c>
      <c r="F15" s="1303">
        <f>'7&amp;8 Sleep'!AD238</f>
        <v>0</v>
      </c>
      <c r="G15" s="1304">
        <f>'7&amp;8 Sleep'!AD291</f>
        <v>0</v>
      </c>
      <c r="H15" s="1302">
        <v>0</v>
      </c>
      <c r="I15" s="1303">
        <f>'7&amp;8 Day'!AD81</f>
        <v>0</v>
      </c>
      <c r="J15" s="1303">
        <f>'7&amp;8 Day'!AD133</f>
        <v>0</v>
      </c>
      <c r="K15" s="1303">
        <f>'7&amp;8 Day'!AD185</f>
        <v>0</v>
      </c>
      <c r="L15" s="1303">
        <f>'7&amp;8 Day'!AD238</f>
        <v>0</v>
      </c>
      <c r="M15" s="1304">
        <f>'7&amp;8 Day'!AD291</f>
        <v>0</v>
      </c>
      <c r="N15" s="1302">
        <v>0</v>
      </c>
      <c r="O15" s="1303">
        <f>'7&amp;8 SU'!AD81</f>
        <v>0</v>
      </c>
      <c r="P15" s="1303">
        <f>'7&amp;8 SU'!AD133</f>
        <v>0</v>
      </c>
      <c r="Q15" s="1303">
        <f>'7&amp;8 SU'!AD185</f>
        <v>0</v>
      </c>
      <c r="R15" s="1303">
        <f>'7&amp;8 SU'!AD238</f>
        <v>0</v>
      </c>
      <c r="S15" s="1304">
        <f>'7&amp;8 SU'!AD291</f>
        <v>0</v>
      </c>
    </row>
    <row r="16" spans="1:19" x14ac:dyDescent="0.25">
      <c r="A16" s="1299">
        <v>2013</v>
      </c>
      <c r="B16" s="1302">
        <v>0</v>
      </c>
      <c r="C16" s="1303">
        <f>'7&amp;8 Sleep'!AD82</f>
        <v>0</v>
      </c>
      <c r="D16" s="1303">
        <f>'7&amp;8 Sleep'!AD134</f>
        <v>0</v>
      </c>
      <c r="E16" s="1303">
        <f>'7&amp;8 Sleep'!AD186</f>
        <v>0</v>
      </c>
      <c r="F16" s="1303">
        <f>'7&amp;8 Sleep'!AD239</f>
        <v>0</v>
      </c>
      <c r="G16" s="1304">
        <f>'7&amp;8 Sleep'!AD292</f>
        <v>0</v>
      </c>
      <c r="H16" s="1302">
        <v>0</v>
      </c>
      <c r="I16" s="1303">
        <f>'7&amp;8 Day'!AD82</f>
        <v>0</v>
      </c>
      <c r="J16" s="1303">
        <f>'7&amp;8 Day'!AD134</f>
        <v>0</v>
      </c>
      <c r="K16" s="1303">
        <f>'7&amp;8 Day'!AD186</f>
        <v>0</v>
      </c>
      <c r="L16" s="1303">
        <f>'7&amp;8 Day'!AD239</f>
        <v>0</v>
      </c>
      <c r="M16" s="1304">
        <f>'7&amp;8 Day'!AD292</f>
        <v>0</v>
      </c>
      <c r="N16" s="1302">
        <v>0</v>
      </c>
      <c r="O16" s="1303">
        <f>'7&amp;8 SU'!AD82</f>
        <v>0</v>
      </c>
      <c r="P16" s="1303">
        <f>'7&amp;8 SU'!AD134</f>
        <v>0</v>
      </c>
      <c r="Q16" s="1303">
        <f>'7&amp;8 SU'!AD186</f>
        <v>0</v>
      </c>
      <c r="R16" s="1303">
        <f>'7&amp;8 SU'!AD239</f>
        <v>0</v>
      </c>
      <c r="S16" s="1304">
        <f>'7&amp;8 SU'!AD292</f>
        <v>0</v>
      </c>
    </row>
    <row r="17" spans="1:19" x14ac:dyDescent="0.25">
      <c r="A17" s="1299">
        <v>2014</v>
      </c>
      <c r="B17" s="1302">
        <v>0</v>
      </c>
      <c r="C17" s="1303">
        <f>'7&amp;8 Sleep'!AD83</f>
        <v>0</v>
      </c>
      <c r="D17" s="1303">
        <f>'7&amp;8 Sleep'!AD135</f>
        <v>0</v>
      </c>
      <c r="E17" s="1303">
        <f>'7&amp;8 Sleep'!AD187</f>
        <v>0</v>
      </c>
      <c r="F17" s="1303">
        <f>'7&amp;8 Sleep'!AD240</f>
        <v>0</v>
      </c>
      <c r="G17" s="1304">
        <f>'7&amp;8 Sleep'!AD293</f>
        <v>0</v>
      </c>
      <c r="H17" s="1302">
        <v>0</v>
      </c>
      <c r="I17" s="1303">
        <f>'7&amp;8 Day'!AD83</f>
        <v>0</v>
      </c>
      <c r="J17" s="1303">
        <f>'7&amp;8 Day'!AD135</f>
        <v>0</v>
      </c>
      <c r="K17" s="1303">
        <f>'7&amp;8 Day'!AD187</f>
        <v>0</v>
      </c>
      <c r="L17" s="1303">
        <f>'7&amp;8 Day'!AD240</f>
        <v>0</v>
      </c>
      <c r="M17" s="1304">
        <f>'7&amp;8 Day'!AD293</f>
        <v>0</v>
      </c>
      <c r="N17" s="1302">
        <v>0</v>
      </c>
      <c r="O17" s="1303">
        <f>'7&amp;8 SU'!AD83</f>
        <v>0</v>
      </c>
      <c r="P17" s="1303">
        <f>'7&amp;8 SU'!AD135</f>
        <v>0</v>
      </c>
      <c r="Q17" s="1303">
        <f>'7&amp;8 SU'!AD187</f>
        <v>0</v>
      </c>
      <c r="R17" s="1303">
        <f>'7&amp;8 SU'!AD240</f>
        <v>0</v>
      </c>
      <c r="S17" s="1304">
        <f>'7&amp;8 SU'!AD293</f>
        <v>0</v>
      </c>
    </row>
    <row r="18" spans="1:19" x14ac:dyDescent="0.25">
      <c r="A18" s="1305">
        <v>2015</v>
      </c>
      <c r="B18" s="1306">
        <v>0</v>
      </c>
      <c r="C18" s="1307">
        <f>'7&amp;8 Sleep'!AD84</f>
        <v>0</v>
      </c>
      <c r="D18" s="1307">
        <f>'7&amp;8 Sleep'!AD136</f>
        <v>0</v>
      </c>
      <c r="E18" s="1307">
        <f>'7&amp;8 Sleep'!AD188</f>
        <v>0</v>
      </c>
      <c r="F18" s="1307">
        <f>'7&amp;8 Sleep'!AD241</f>
        <v>0</v>
      </c>
      <c r="G18" s="1308">
        <f>'7&amp;8 Sleep'!AD294</f>
        <v>0</v>
      </c>
      <c r="H18" s="1306">
        <v>0</v>
      </c>
      <c r="I18" s="1307">
        <f>'7&amp;8 Day'!AD84</f>
        <v>0</v>
      </c>
      <c r="J18" s="1307">
        <f>'7&amp;8 Day'!AD136</f>
        <v>0</v>
      </c>
      <c r="K18" s="1307">
        <f>'7&amp;8 Day'!AD188</f>
        <v>0</v>
      </c>
      <c r="L18" s="1307">
        <f>'7&amp;8 Day'!AD241</f>
        <v>0</v>
      </c>
      <c r="M18" s="1308">
        <f>'7&amp;8 Day'!AD294</f>
        <v>0</v>
      </c>
      <c r="N18" s="1306">
        <v>0</v>
      </c>
      <c r="O18" s="1307">
        <f>'7&amp;8 SU'!AD84</f>
        <v>0</v>
      </c>
      <c r="P18" s="1307">
        <f>'7&amp;8 SU'!AD136</f>
        <v>0</v>
      </c>
      <c r="Q18" s="1307">
        <f>'7&amp;8 SU'!AD188</f>
        <v>0</v>
      </c>
      <c r="R18" s="1307">
        <f>'7&amp;8 SU'!AD241</f>
        <v>0</v>
      </c>
      <c r="S18" s="1308">
        <f>'7&amp;8 SU'!AD294</f>
        <v>0</v>
      </c>
    </row>
    <row r="19" spans="1:19" x14ac:dyDescent="0.25">
      <c r="A19" s="1299">
        <v>2016</v>
      </c>
      <c r="B19" s="1309">
        <v>0</v>
      </c>
      <c r="C19" s="1310">
        <f>'7&amp;8 Sleep'!AD85</f>
        <v>0</v>
      </c>
      <c r="D19" s="1310">
        <f>'7&amp;8 Sleep'!AD137</f>
        <v>0</v>
      </c>
      <c r="E19" s="1310">
        <f>'7&amp;8 Sleep'!AD189</f>
        <v>0</v>
      </c>
      <c r="F19" s="1310">
        <f>'7&amp;8 Sleep'!AD242</f>
        <v>0</v>
      </c>
      <c r="G19" s="1311">
        <f>'7&amp;8 Sleep'!AD295</f>
        <v>0</v>
      </c>
      <c r="H19" s="1309">
        <v>0</v>
      </c>
      <c r="I19" s="1310">
        <f>'7&amp;8 Day'!AD85</f>
        <v>0</v>
      </c>
      <c r="J19" s="1310">
        <f>'7&amp;8 Day'!AD137</f>
        <v>0</v>
      </c>
      <c r="K19" s="1310">
        <f>'7&amp;8 Day'!AD189</f>
        <v>0</v>
      </c>
      <c r="L19" s="1310">
        <f>'7&amp;8 Day'!AD242</f>
        <v>0</v>
      </c>
      <c r="M19" s="1311">
        <f>'7&amp;8 Day'!AD295</f>
        <v>0</v>
      </c>
      <c r="N19" s="1309">
        <v>0</v>
      </c>
      <c r="O19" s="1310">
        <f>'7&amp;8 SU'!AD85</f>
        <v>0</v>
      </c>
      <c r="P19" s="1310">
        <f>'7&amp;8 SU'!AD137</f>
        <v>0</v>
      </c>
      <c r="Q19" s="1310">
        <f>'7&amp;8 SU'!AD189</f>
        <v>0</v>
      </c>
      <c r="R19" s="1310">
        <f>'7&amp;8 SU'!AD242</f>
        <v>0</v>
      </c>
      <c r="S19" s="1311">
        <f>'7&amp;8 SU'!AD295</f>
        <v>0</v>
      </c>
    </row>
    <row r="20" spans="1:19" x14ac:dyDescent="0.25">
      <c r="A20" s="1299">
        <v>2017</v>
      </c>
      <c r="B20" s="1302">
        <v>0</v>
      </c>
      <c r="C20" s="1303">
        <f>'7&amp;8 Sleep'!AD86</f>
        <v>0</v>
      </c>
      <c r="D20" s="1303">
        <f>'7&amp;8 Sleep'!AD138</f>
        <v>0</v>
      </c>
      <c r="E20" s="1303">
        <f>'7&amp;8 Sleep'!AD190</f>
        <v>0</v>
      </c>
      <c r="F20" s="1303">
        <f>'7&amp;8 Sleep'!AD243</f>
        <v>0</v>
      </c>
      <c r="G20" s="1304">
        <f>'7&amp;8 Sleep'!AD296</f>
        <v>0</v>
      </c>
      <c r="H20" s="1302">
        <v>0</v>
      </c>
      <c r="I20" s="1303">
        <f>'7&amp;8 Day'!AD86</f>
        <v>0</v>
      </c>
      <c r="J20" s="1303">
        <f>'7&amp;8 Day'!AD138</f>
        <v>0</v>
      </c>
      <c r="K20" s="1303">
        <f>'7&amp;8 Day'!AD190</f>
        <v>0</v>
      </c>
      <c r="L20" s="1303">
        <f>'7&amp;8 Day'!AD243</f>
        <v>0</v>
      </c>
      <c r="M20" s="1304">
        <f>'7&amp;8 Day'!AD296</f>
        <v>0</v>
      </c>
      <c r="N20" s="1302">
        <v>0</v>
      </c>
      <c r="O20" s="1303">
        <f>'7&amp;8 SU'!AD86</f>
        <v>0</v>
      </c>
      <c r="P20" s="1303">
        <f>'7&amp;8 SU'!AD138</f>
        <v>0</v>
      </c>
      <c r="Q20" s="1303">
        <f>'7&amp;8 SU'!AD190</f>
        <v>0</v>
      </c>
      <c r="R20" s="1303">
        <f>'7&amp;8 SU'!AD243</f>
        <v>0</v>
      </c>
      <c r="S20" s="1304">
        <f>'7&amp;8 SU'!AD296</f>
        <v>0</v>
      </c>
    </row>
    <row r="21" spans="1:19" x14ac:dyDescent="0.25">
      <c r="A21" s="1299">
        <v>2018</v>
      </c>
      <c r="B21" s="1302">
        <v>0</v>
      </c>
      <c r="C21" s="1303">
        <f>'7&amp;8 Sleep'!AD87</f>
        <v>0</v>
      </c>
      <c r="D21" s="1303">
        <f>'7&amp;8 Sleep'!AD139</f>
        <v>0</v>
      </c>
      <c r="E21" s="1303">
        <f>'7&amp;8 Sleep'!AD191</f>
        <v>0</v>
      </c>
      <c r="F21" s="1303">
        <f>'7&amp;8 Sleep'!AD244</f>
        <v>0</v>
      </c>
      <c r="G21" s="1304">
        <f>'7&amp;8 Sleep'!AD297</f>
        <v>0</v>
      </c>
      <c r="H21" s="1302">
        <v>0</v>
      </c>
      <c r="I21" s="1303">
        <f>'7&amp;8 Day'!AD87</f>
        <v>0</v>
      </c>
      <c r="J21" s="1303">
        <f>'7&amp;8 Day'!AD139</f>
        <v>0</v>
      </c>
      <c r="K21" s="1303">
        <f>'7&amp;8 Day'!AD191</f>
        <v>0</v>
      </c>
      <c r="L21" s="1303">
        <f>'7&amp;8 Day'!AD244</f>
        <v>0</v>
      </c>
      <c r="M21" s="1304">
        <f>'7&amp;8 Day'!AD297</f>
        <v>0</v>
      </c>
      <c r="N21" s="1302">
        <v>0</v>
      </c>
      <c r="O21" s="1303">
        <f>'7&amp;8 SU'!AD87</f>
        <v>0</v>
      </c>
      <c r="P21" s="1303">
        <f>'7&amp;8 SU'!AD139</f>
        <v>0</v>
      </c>
      <c r="Q21" s="1303">
        <f>'7&amp;8 SU'!AD191</f>
        <v>0</v>
      </c>
      <c r="R21" s="1303">
        <f>'7&amp;8 SU'!AD244</f>
        <v>0</v>
      </c>
      <c r="S21" s="1304">
        <f>'7&amp;8 SU'!AD297</f>
        <v>0</v>
      </c>
    </row>
    <row r="22" spans="1:19" x14ac:dyDescent="0.25">
      <c r="A22" s="1299">
        <v>2019</v>
      </c>
      <c r="B22" s="1302">
        <v>0</v>
      </c>
      <c r="C22" s="1303">
        <f>'7&amp;8 Sleep'!AD88</f>
        <v>0</v>
      </c>
      <c r="D22" s="1303">
        <f>'7&amp;8 Sleep'!AD140</f>
        <v>0</v>
      </c>
      <c r="E22" s="1303">
        <f>'7&amp;8 Sleep'!AD192</f>
        <v>0</v>
      </c>
      <c r="F22" s="1303">
        <f>'7&amp;8 Sleep'!AD245</f>
        <v>0</v>
      </c>
      <c r="G22" s="1304">
        <f>'7&amp;8 Sleep'!AD298</f>
        <v>0</v>
      </c>
      <c r="H22" s="1302">
        <v>0</v>
      </c>
      <c r="I22" s="1303">
        <f>'7&amp;8 Day'!AD88</f>
        <v>0</v>
      </c>
      <c r="J22" s="1303">
        <f>'7&amp;8 Day'!AD140</f>
        <v>0</v>
      </c>
      <c r="K22" s="1303">
        <f>'7&amp;8 Day'!AD192</f>
        <v>0</v>
      </c>
      <c r="L22" s="1303">
        <f>'7&amp;8 Day'!AD245</f>
        <v>0</v>
      </c>
      <c r="M22" s="1304">
        <f>'7&amp;8 Day'!AD298</f>
        <v>0</v>
      </c>
      <c r="N22" s="1302">
        <v>0</v>
      </c>
      <c r="O22" s="1303">
        <f>'7&amp;8 SU'!AD88</f>
        <v>0</v>
      </c>
      <c r="P22" s="1303">
        <f>'7&amp;8 SU'!AD140</f>
        <v>0</v>
      </c>
      <c r="Q22" s="1303">
        <f>'7&amp;8 SU'!AD192</f>
        <v>0</v>
      </c>
      <c r="R22" s="1303">
        <f>'7&amp;8 SU'!AD245</f>
        <v>0</v>
      </c>
      <c r="S22" s="1304">
        <f>'7&amp;8 SU'!AD298</f>
        <v>0</v>
      </c>
    </row>
    <row r="23" spans="1:19" x14ac:dyDescent="0.25">
      <c r="A23" s="1305">
        <v>2020</v>
      </c>
      <c r="B23" s="1306">
        <v>0</v>
      </c>
      <c r="C23" s="1307">
        <f>'7&amp;8 Sleep'!AD89</f>
        <v>0</v>
      </c>
      <c r="D23" s="1307">
        <f>'7&amp;8 Sleep'!AD141</f>
        <v>0</v>
      </c>
      <c r="E23" s="1307">
        <f>'7&amp;8 Sleep'!AD193</f>
        <v>0</v>
      </c>
      <c r="F23" s="1307">
        <f>'7&amp;8 Sleep'!AD246</f>
        <v>0</v>
      </c>
      <c r="G23" s="1308">
        <f>'7&amp;8 Sleep'!AD299</f>
        <v>0</v>
      </c>
      <c r="H23" s="1306">
        <v>0</v>
      </c>
      <c r="I23" s="1307">
        <f>'7&amp;8 Day'!AD89</f>
        <v>0</v>
      </c>
      <c r="J23" s="1307">
        <f>'7&amp;8 Day'!AD141</f>
        <v>0</v>
      </c>
      <c r="K23" s="1307">
        <f>'7&amp;8 Day'!AD193</f>
        <v>0</v>
      </c>
      <c r="L23" s="1307">
        <f>'7&amp;8 Day'!AD246</f>
        <v>0</v>
      </c>
      <c r="M23" s="1308">
        <f>'7&amp;8 Day'!AD299</f>
        <v>0</v>
      </c>
      <c r="N23" s="1306">
        <v>0</v>
      </c>
      <c r="O23" s="1307">
        <f>'7&amp;8 SU'!AD89</f>
        <v>0</v>
      </c>
      <c r="P23" s="1307">
        <f>'7&amp;8 SU'!AD141</f>
        <v>0</v>
      </c>
      <c r="Q23" s="1307">
        <f>'7&amp;8 SU'!AD193</f>
        <v>0</v>
      </c>
      <c r="R23" s="1307">
        <f>'7&amp;8 SU'!AD246</f>
        <v>0</v>
      </c>
      <c r="S23" s="1308">
        <f>'7&amp;8 SU'!AD299</f>
        <v>0</v>
      </c>
    </row>
    <row r="24" spans="1:19" x14ac:dyDescent="0.25">
      <c r="A24" s="1299">
        <v>2021</v>
      </c>
      <c r="B24" s="1309">
        <v>0</v>
      </c>
      <c r="C24" s="1310">
        <f>'7&amp;8 Sleep'!AD90</f>
        <v>0</v>
      </c>
      <c r="D24" s="1310">
        <f>'7&amp;8 Sleep'!AD142</f>
        <v>0</v>
      </c>
      <c r="E24" s="1310">
        <f>'7&amp;8 Sleep'!AD194</f>
        <v>0</v>
      </c>
      <c r="F24" s="1310">
        <f>'7&amp;8 Sleep'!AD247</f>
        <v>0</v>
      </c>
      <c r="G24" s="1311">
        <f>'7&amp;8 Sleep'!AD300</f>
        <v>0</v>
      </c>
      <c r="H24" s="1309">
        <v>0</v>
      </c>
      <c r="I24" s="1310">
        <f>'7&amp;8 Day'!AD90</f>
        <v>0</v>
      </c>
      <c r="J24" s="1310">
        <f>'7&amp;8 Day'!AD142</f>
        <v>0</v>
      </c>
      <c r="K24" s="1310">
        <f>'7&amp;8 Day'!AD194</f>
        <v>0</v>
      </c>
      <c r="L24" s="1310">
        <f>'7&amp;8 Day'!AD247</f>
        <v>0</v>
      </c>
      <c r="M24" s="1311">
        <f>'7&amp;8 Day'!AD300</f>
        <v>0</v>
      </c>
      <c r="N24" s="1309">
        <v>0</v>
      </c>
      <c r="O24" s="1310">
        <f>'7&amp;8 SU'!AD90</f>
        <v>0</v>
      </c>
      <c r="P24" s="1310">
        <f>'7&amp;8 SU'!AD142</f>
        <v>0</v>
      </c>
      <c r="Q24" s="1310">
        <f>'7&amp;8 SU'!AD194</f>
        <v>0</v>
      </c>
      <c r="R24" s="1310">
        <f>'7&amp;8 SU'!AD247</f>
        <v>0</v>
      </c>
      <c r="S24" s="1311">
        <f>'7&amp;8 SU'!AD300</f>
        <v>0</v>
      </c>
    </row>
    <row r="25" spans="1:19" x14ac:dyDescent="0.25">
      <c r="A25" s="1299">
        <v>2022</v>
      </c>
      <c r="B25" s="1302">
        <v>0</v>
      </c>
      <c r="C25" s="1303">
        <f>'7&amp;8 Sleep'!AD91</f>
        <v>0</v>
      </c>
      <c r="D25" s="1303">
        <f>'7&amp;8 Sleep'!AD143</f>
        <v>0</v>
      </c>
      <c r="E25" s="1303">
        <f>'7&amp;8 Sleep'!AD195</f>
        <v>0</v>
      </c>
      <c r="F25" s="1303">
        <f>'7&amp;8 Sleep'!AD248</f>
        <v>0</v>
      </c>
      <c r="G25" s="1304">
        <f>'7&amp;8 Sleep'!AD301</f>
        <v>0</v>
      </c>
      <c r="H25" s="1302">
        <v>0</v>
      </c>
      <c r="I25" s="1303">
        <f>'7&amp;8 Day'!AD91</f>
        <v>0</v>
      </c>
      <c r="J25" s="1303">
        <f>'7&amp;8 Day'!AD143</f>
        <v>0</v>
      </c>
      <c r="K25" s="1303">
        <f>'7&amp;8 Day'!AD195</f>
        <v>0</v>
      </c>
      <c r="L25" s="1303">
        <f>'7&amp;8 Day'!AD248</f>
        <v>0</v>
      </c>
      <c r="M25" s="1304">
        <f>'7&amp;8 Day'!AD301</f>
        <v>0</v>
      </c>
      <c r="N25" s="1302">
        <v>0</v>
      </c>
      <c r="O25" s="1303">
        <f>'7&amp;8 SU'!AD91</f>
        <v>0</v>
      </c>
      <c r="P25" s="1303">
        <f>'7&amp;8 SU'!AD143</f>
        <v>0</v>
      </c>
      <c r="Q25" s="1303">
        <f>'7&amp;8 SU'!AD195</f>
        <v>0</v>
      </c>
      <c r="R25" s="1303">
        <f>'7&amp;8 SU'!AD248</f>
        <v>0</v>
      </c>
      <c r="S25" s="1304">
        <f>'7&amp;8 SU'!AD301</f>
        <v>0</v>
      </c>
    </row>
    <row r="26" spans="1:19" x14ac:dyDescent="0.25">
      <c r="A26" s="1299">
        <v>2023</v>
      </c>
      <c r="B26" s="1302">
        <v>0</v>
      </c>
      <c r="C26" s="1303">
        <f>'7&amp;8 Sleep'!AD92</f>
        <v>0</v>
      </c>
      <c r="D26" s="1303">
        <f>'7&amp;8 Sleep'!AD144</f>
        <v>0</v>
      </c>
      <c r="E26" s="1303">
        <f>'7&amp;8 Sleep'!AD196</f>
        <v>0</v>
      </c>
      <c r="F26" s="1303">
        <f>'7&amp;8 Sleep'!AD249</f>
        <v>0</v>
      </c>
      <c r="G26" s="1304">
        <f>'7&amp;8 Sleep'!AD302</f>
        <v>0</v>
      </c>
      <c r="H26" s="1302">
        <v>0</v>
      </c>
      <c r="I26" s="1303">
        <f>'7&amp;8 Day'!AD92</f>
        <v>0</v>
      </c>
      <c r="J26" s="1303">
        <f>'7&amp;8 Day'!AD144</f>
        <v>0</v>
      </c>
      <c r="K26" s="1303">
        <f>'7&amp;8 Day'!AD196</f>
        <v>0</v>
      </c>
      <c r="L26" s="1303">
        <f>'7&amp;8 Day'!AD249</f>
        <v>0</v>
      </c>
      <c r="M26" s="1304">
        <f>'7&amp;8 Day'!AD302</f>
        <v>0</v>
      </c>
      <c r="N26" s="1302">
        <v>0</v>
      </c>
      <c r="O26" s="1303">
        <f>'7&amp;8 SU'!AD92</f>
        <v>0</v>
      </c>
      <c r="P26" s="1303">
        <f>'7&amp;8 SU'!AD144</f>
        <v>0</v>
      </c>
      <c r="Q26" s="1303">
        <f>'7&amp;8 SU'!AD196</f>
        <v>0</v>
      </c>
      <c r="R26" s="1303">
        <f>'7&amp;8 SU'!AD249</f>
        <v>0</v>
      </c>
      <c r="S26" s="1304">
        <f>'7&amp;8 SU'!AD302</f>
        <v>0</v>
      </c>
    </row>
    <row r="27" spans="1:19" x14ac:dyDescent="0.25">
      <c r="A27" s="1299">
        <v>2024</v>
      </c>
      <c r="B27" s="1302">
        <v>0</v>
      </c>
      <c r="C27" s="1303">
        <f>'7&amp;8 Sleep'!AD93</f>
        <v>0</v>
      </c>
      <c r="D27" s="1303">
        <f>'7&amp;8 Sleep'!AD145</f>
        <v>0</v>
      </c>
      <c r="E27" s="1303">
        <f>'7&amp;8 Sleep'!AD197</f>
        <v>0</v>
      </c>
      <c r="F27" s="1303">
        <f>'7&amp;8 Sleep'!AD250</f>
        <v>0</v>
      </c>
      <c r="G27" s="1304">
        <f>'7&amp;8 Sleep'!AD303</f>
        <v>0</v>
      </c>
      <c r="H27" s="1302">
        <v>0</v>
      </c>
      <c r="I27" s="1303">
        <f>'7&amp;8 Day'!AD93</f>
        <v>0</v>
      </c>
      <c r="J27" s="1303">
        <f>'7&amp;8 Day'!AD145</f>
        <v>0</v>
      </c>
      <c r="K27" s="1303">
        <f>'7&amp;8 Day'!AD197</f>
        <v>0</v>
      </c>
      <c r="L27" s="1303">
        <f>'7&amp;8 Day'!AD250</f>
        <v>0</v>
      </c>
      <c r="M27" s="1304">
        <f>'7&amp;8 Day'!AD303</f>
        <v>0</v>
      </c>
      <c r="N27" s="1302">
        <v>0</v>
      </c>
      <c r="O27" s="1303">
        <f>'7&amp;8 SU'!AD93</f>
        <v>0</v>
      </c>
      <c r="P27" s="1303">
        <f>'7&amp;8 SU'!AD145</f>
        <v>0</v>
      </c>
      <c r="Q27" s="1303">
        <f>'7&amp;8 SU'!AD197</f>
        <v>0</v>
      </c>
      <c r="R27" s="1303">
        <f>'7&amp;8 SU'!AD250</f>
        <v>0</v>
      </c>
      <c r="S27" s="1304">
        <f>'7&amp;8 SU'!AD303</f>
        <v>0</v>
      </c>
    </row>
    <row r="28" spans="1:19" x14ac:dyDescent="0.25">
      <c r="A28" s="1305">
        <v>2025</v>
      </c>
      <c r="B28" s="1306">
        <v>0</v>
      </c>
      <c r="C28" s="1307">
        <f>'7&amp;8 Sleep'!AD94</f>
        <v>0</v>
      </c>
      <c r="D28" s="1307">
        <f>'7&amp;8 Sleep'!AD146</f>
        <v>0</v>
      </c>
      <c r="E28" s="1307">
        <f>'7&amp;8 Sleep'!AD198</f>
        <v>0</v>
      </c>
      <c r="F28" s="1307">
        <f>'7&amp;8 Sleep'!AD251</f>
        <v>0</v>
      </c>
      <c r="G28" s="1308">
        <f>'7&amp;8 Sleep'!AD304</f>
        <v>0</v>
      </c>
      <c r="H28" s="1306">
        <v>0</v>
      </c>
      <c r="I28" s="1307">
        <f>'7&amp;8 Day'!AD94</f>
        <v>0</v>
      </c>
      <c r="J28" s="1307">
        <f>'7&amp;8 Day'!AD146</f>
        <v>0</v>
      </c>
      <c r="K28" s="1307">
        <f>'7&amp;8 Day'!AD198</f>
        <v>0</v>
      </c>
      <c r="L28" s="1307">
        <f>'7&amp;8 Day'!AD251</f>
        <v>0</v>
      </c>
      <c r="M28" s="1308">
        <f>'7&amp;8 Day'!AD304</f>
        <v>0</v>
      </c>
      <c r="N28" s="1306">
        <v>0</v>
      </c>
      <c r="O28" s="1307">
        <f>'7&amp;8 SU'!AD94</f>
        <v>0</v>
      </c>
      <c r="P28" s="1307">
        <f>'7&amp;8 SU'!AD146</f>
        <v>0</v>
      </c>
      <c r="Q28" s="1307">
        <f>'7&amp;8 SU'!AD198</f>
        <v>0</v>
      </c>
      <c r="R28" s="1307">
        <f>'7&amp;8 SU'!AD251</f>
        <v>0.16817204428324783</v>
      </c>
      <c r="S28" s="1308">
        <f>'7&amp;8 SU'!AD304</f>
        <v>0</v>
      </c>
    </row>
    <row r="29" spans="1:19" x14ac:dyDescent="0.25">
      <c r="A29" s="1299">
        <v>2026</v>
      </c>
      <c r="B29" s="1309">
        <v>0</v>
      </c>
      <c r="C29" s="1310">
        <f>'7&amp;8 Sleep'!AD95</f>
        <v>0</v>
      </c>
      <c r="D29" s="1310">
        <f>'7&amp;8 Sleep'!AD147</f>
        <v>0</v>
      </c>
      <c r="E29" s="1310">
        <f>'7&amp;8 Sleep'!AD199</f>
        <v>0</v>
      </c>
      <c r="F29" s="1310">
        <f>'7&amp;8 Sleep'!AD252</f>
        <v>0</v>
      </c>
      <c r="G29" s="1311">
        <f>'7&amp;8 Sleep'!AD305</f>
        <v>0</v>
      </c>
      <c r="H29" s="1309">
        <v>0</v>
      </c>
      <c r="I29" s="1310">
        <f>'7&amp;8 Day'!AD95</f>
        <v>0</v>
      </c>
      <c r="J29" s="1310">
        <f>'7&amp;8 Day'!AD147</f>
        <v>0</v>
      </c>
      <c r="K29" s="1310">
        <f>'7&amp;8 Day'!AD199</f>
        <v>0</v>
      </c>
      <c r="L29" s="1310">
        <f>'7&amp;8 Day'!AD252</f>
        <v>0</v>
      </c>
      <c r="M29" s="1311">
        <f>'7&amp;8 Day'!AD305</f>
        <v>0</v>
      </c>
      <c r="N29" s="1309">
        <v>0</v>
      </c>
      <c r="O29" s="1310">
        <f>'7&amp;8 SU'!AD95</f>
        <v>0</v>
      </c>
      <c r="P29" s="1310">
        <f>'7&amp;8 SU'!AD147</f>
        <v>0</v>
      </c>
      <c r="Q29" s="1310">
        <f>'7&amp;8 SU'!AD199</f>
        <v>0</v>
      </c>
      <c r="R29" s="1310">
        <f>'7&amp;8 SU'!AD252</f>
        <v>0.17845331445709606</v>
      </c>
      <c r="S29" s="1311">
        <f>'7&amp;8 SU'!AD305</f>
        <v>0</v>
      </c>
    </row>
    <row r="30" spans="1:19" x14ac:dyDescent="0.25">
      <c r="A30" s="1299">
        <v>2027</v>
      </c>
      <c r="B30" s="1302">
        <v>0</v>
      </c>
      <c r="C30" s="1303">
        <f>'7&amp;8 Sleep'!AD96</f>
        <v>0</v>
      </c>
      <c r="D30" s="1303">
        <f>'7&amp;8 Sleep'!AD148</f>
        <v>0</v>
      </c>
      <c r="E30" s="1303">
        <f>'7&amp;8 Sleep'!AD200</f>
        <v>0</v>
      </c>
      <c r="F30" s="1303">
        <f>'7&amp;8 Sleep'!AD253</f>
        <v>0</v>
      </c>
      <c r="G30" s="1304">
        <f>'7&amp;8 Sleep'!AD306</f>
        <v>0</v>
      </c>
      <c r="H30" s="1302">
        <v>0</v>
      </c>
      <c r="I30" s="1303">
        <f>'7&amp;8 Day'!AD96</f>
        <v>0</v>
      </c>
      <c r="J30" s="1303">
        <f>'7&amp;8 Day'!AD148</f>
        <v>0</v>
      </c>
      <c r="K30" s="1303">
        <f>'7&amp;8 Day'!AD200</f>
        <v>0</v>
      </c>
      <c r="L30" s="1303">
        <f>'7&amp;8 Day'!AD253</f>
        <v>0</v>
      </c>
      <c r="M30" s="1304">
        <f>'7&amp;8 Day'!AD306</f>
        <v>0</v>
      </c>
      <c r="N30" s="1302">
        <v>0</v>
      </c>
      <c r="O30" s="1303">
        <f>'7&amp;8 SU'!AD96</f>
        <v>0</v>
      </c>
      <c r="P30" s="1303">
        <f>'7&amp;8 SU'!AD148</f>
        <v>0</v>
      </c>
      <c r="Q30" s="1303">
        <f>'7&amp;8 SU'!AD200</f>
        <v>0</v>
      </c>
      <c r="R30" s="1303">
        <f>'7&amp;8 SU'!AD253</f>
        <v>0.20654687976471892</v>
      </c>
      <c r="S30" s="1304">
        <f>'7&amp;8 SU'!AD306</f>
        <v>0</v>
      </c>
    </row>
    <row r="31" spans="1:19" x14ac:dyDescent="0.25">
      <c r="A31" s="1299">
        <v>2028</v>
      </c>
      <c r="B31" s="1302">
        <v>0</v>
      </c>
      <c r="C31" s="1303">
        <f>'7&amp;8 Sleep'!AD97</f>
        <v>0</v>
      </c>
      <c r="D31" s="1303">
        <f>'7&amp;8 Sleep'!AD149</f>
        <v>0</v>
      </c>
      <c r="E31" s="1303">
        <f>'7&amp;8 Sleep'!AD201</f>
        <v>0</v>
      </c>
      <c r="F31" s="1303">
        <f>'7&amp;8 Sleep'!AD254</f>
        <v>0</v>
      </c>
      <c r="G31" s="1304">
        <f>'7&amp;8 Sleep'!AD307</f>
        <v>0</v>
      </c>
      <c r="H31" s="1302">
        <v>0</v>
      </c>
      <c r="I31" s="1303">
        <f>'7&amp;8 Day'!AD97</f>
        <v>0</v>
      </c>
      <c r="J31" s="1303">
        <f>'7&amp;8 Day'!AD149</f>
        <v>0</v>
      </c>
      <c r="K31" s="1303">
        <f>'7&amp;8 Day'!AD201</f>
        <v>0</v>
      </c>
      <c r="L31" s="1303">
        <f>'7&amp;8 Day'!AD254</f>
        <v>0</v>
      </c>
      <c r="M31" s="1304">
        <f>'7&amp;8 Day'!AD307</f>
        <v>0</v>
      </c>
      <c r="N31" s="1302">
        <v>0</v>
      </c>
      <c r="O31" s="1303">
        <f>'7&amp;8 SU'!AD97</f>
        <v>0</v>
      </c>
      <c r="P31" s="1303">
        <f>'7&amp;8 SU'!AD149</f>
        <v>0</v>
      </c>
      <c r="Q31" s="1303">
        <f>'7&amp;8 SU'!AD201</f>
        <v>0</v>
      </c>
      <c r="R31" s="1303">
        <f>'7&amp;8 SU'!AD254</f>
        <v>0.22977268584584626</v>
      </c>
      <c r="S31" s="1304">
        <f>'7&amp;8 SU'!AD307</f>
        <v>0</v>
      </c>
    </row>
    <row r="32" spans="1:19" x14ac:dyDescent="0.25">
      <c r="A32" s="1299">
        <v>2029</v>
      </c>
      <c r="B32" s="1302">
        <v>0</v>
      </c>
      <c r="C32" s="1303">
        <f>'7&amp;8 Sleep'!AD98</f>
        <v>0</v>
      </c>
      <c r="D32" s="1303">
        <f>'7&amp;8 Sleep'!AD150</f>
        <v>0</v>
      </c>
      <c r="E32" s="1303">
        <f>'7&amp;8 Sleep'!AD202</f>
        <v>0</v>
      </c>
      <c r="F32" s="1303">
        <f>'7&amp;8 Sleep'!AD255</f>
        <v>0</v>
      </c>
      <c r="G32" s="1304">
        <f>'7&amp;8 Sleep'!AD308</f>
        <v>0</v>
      </c>
      <c r="H32" s="1302">
        <v>0</v>
      </c>
      <c r="I32" s="1303">
        <f>'7&amp;8 Day'!AD98</f>
        <v>0</v>
      </c>
      <c r="J32" s="1303">
        <f>'7&amp;8 Day'!AD150</f>
        <v>0</v>
      </c>
      <c r="K32" s="1303">
        <f>'7&amp;8 Day'!AD202</f>
        <v>0</v>
      </c>
      <c r="L32" s="1303">
        <f>'7&amp;8 Day'!AD255</f>
        <v>0</v>
      </c>
      <c r="M32" s="1304">
        <f>'7&amp;8 Day'!AD308</f>
        <v>0</v>
      </c>
      <c r="N32" s="1302">
        <v>0</v>
      </c>
      <c r="O32" s="1303">
        <f>'7&amp;8 SU'!AD98</f>
        <v>0</v>
      </c>
      <c r="P32" s="1303">
        <f>'7&amp;8 SU'!AD150</f>
        <v>0</v>
      </c>
      <c r="Q32" s="1303">
        <f>'7&amp;8 SU'!AD202</f>
        <v>0</v>
      </c>
      <c r="R32" s="1303">
        <f>'7&amp;8 SU'!AD255</f>
        <v>0.25139035907208684</v>
      </c>
      <c r="S32" s="1304">
        <f>'7&amp;8 SU'!AD308</f>
        <v>0</v>
      </c>
    </row>
    <row r="33" spans="1:19" x14ac:dyDescent="0.25">
      <c r="A33" s="1305">
        <v>2030</v>
      </c>
      <c r="B33" s="1306">
        <v>0</v>
      </c>
      <c r="C33" s="1307">
        <f>'7&amp;8 Sleep'!AD99</f>
        <v>0</v>
      </c>
      <c r="D33" s="1307">
        <f>'7&amp;8 Sleep'!AD151</f>
        <v>0</v>
      </c>
      <c r="E33" s="1307">
        <f>'7&amp;8 Sleep'!AD203</f>
        <v>0</v>
      </c>
      <c r="F33" s="1307">
        <f>'7&amp;8 Sleep'!AD256</f>
        <v>0</v>
      </c>
      <c r="G33" s="1308">
        <f>'7&amp;8 Sleep'!AD309</f>
        <v>0</v>
      </c>
      <c r="H33" s="1306">
        <v>0</v>
      </c>
      <c r="I33" s="1307">
        <f>'7&amp;8 Day'!AD99</f>
        <v>0</v>
      </c>
      <c r="J33" s="1307">
        <f>'7&amp;8 Day'!AD151</f>
        <v>0</v>
      </c>
      <c r="K33" s="1307">
        <f>'7&amp;8 Day'!AD203</f>
        <v>0</v>
      </c>
      <c r="L33" s="1307">
        <f>'7&amp;8 Day'!AD256</f>
        <v>0</v>
      </c>
      <c r="M33" s="1308">
        <f>'7&amp;8 Day'!AD309</f>
        <v>0</v>
      </c>
      <c r="N33" s="1306">
        <v>0</v>
      </c>
      <c r="O33" s="1307">
        <f>'7&amp;8 SU'!AD99</f>
        <v>0</v>
      </c>
      <c r="P33" s="1307">
        <f>'7&amp;8 SU'!AD151</f>
        <v>0</v>
      </c>
      <c r="Q33" s="1307">
        <f>'7&amp;8 SU'!AD203</f>
        <v>0</v>
      </c>
      <c r="R33" s="1307">
        <f>'7&amp;8 SU'!AD256</f>
        <v>0.26633017418749011</v>
      </c>
      <c r="S33" s="1308">
        <f>'7&amp;8 SU'!AD309</f>
        <v>0</v>
      </c>
    </row>
    <row r="34" spans="1:19" x14ac:dyDescent="0.25">
      <c r="A34" s="1299">
        <v>2031</v>
      </c>
      <c r="B34" s="1309">
        <v>0</v>
      </c>
      <c r="C34" s="1310">
        <f>'7&amp;8 Sleep'!AD100</f>
        <v>0</v>
      </c>
      <c r="D34" s="1310">
        <f>'7&amp;8 Sleep'!AD152</f>
        <v>0</v>
      </c>
      <c r="E34" s="1310">
        <f>'7&amp;8 Sleep'!AD204</f>
        <v>0</v>
      </c>
      <c r="F34" s="1310">
        <f>'7&amp;8 Sleep'!AD257</f>
        <v>0</v>
      </c>
      <c r="G34" s="1311">
        <f>'7&amp;8 Sleep'!AD310</f>
        <v>0</v>
      </c>
      <c r="H34" s="1309">
        <v>0</v>
      </c>
      <c r="I34" s="1310">
        <f>'7&amp;8 Day'!AD100</f>
        <v>0</v>
      </c>
      <c r="J34" s="1310">
        <f>'7&amp;8 Day'!AD152</f>
        <v>0</v>
      </c>
      <c r="K34" s="1310">
        <f>'7&amp;8 Day'!AD204</f>
        <v>0.15612693396906846</v>
      </c>
      <c r="L34" s="1310">
        <f>'7&amp;8 Day'!AD257</f>
        <v>0</v>
      </c>
      <c r="M34" s="1311">
        <f>'7&amp;8 Day'!AD310</f>
        <v>0</v>
      </c>
      <c r="N34" s="1309">
        <v>0</v>
      </c>
      <c r="O34" s="1310">
        <f>'7&amp;8 SU'!AD100</f>
        <v>0</v>
      </c>
      <c r="P34" s="1310">
        <f>'7&amp;8 SU'!AD152</f>
        <v>0</v>
      </c>
      <c r="Q34" s="1310">
        <f>'7&amp;8 SU'!AD204</f>
        <v>0</v>
      </c>
      <c r="R34" s="1310">
        <f>'7&amp;8 SU'!AD257</f>
        <v>0.27898841371899785</v>
      </c>
      <c r="S34" s="1311">
        <f>'7&amp;8 SU'!AD310</f>
        <v>0</v>
      </c>
    </row>
    <row r="35" spans="1:19" x14ac:dyDescent="0.25">
      <c r="A35" s="1299">
        <v>2032</v>
      </c>
      <c r="B35" s="1302">
        <v>0</v>
      </c>
      <c r="C35" s="1303">
        <f>'7&amp;8 Sleep'!AD101</f>
        <v>0</v>
      </c>
      <c r="D35" s="1303">
        <f>'7&amp;8 Sleep'!AD153</f>
        <v>0</v>
      </c>
      <c r="E35" s="1303">
        <f>'7&amp;8 Sleep'!AD205</f>
        <v>0</v>
      </c>
      <c r="F35" s="1303">
        <f>'7&amp;8 Sleep'!AD258</f>
        <v>0</v>
      </c>
      <c r="G35" s="1304">
        <f>'7&amp;8 Sleep'!AD311</f>
        <v>0</v>
      </c>
      <c r="H35" s="1302">
        <v>0</v>
      </c>
      <c r="I35" s="1303">
        <f>'7&amp;8 Day'!AD101</f>
        <v>0</v>
      </c>
      <c r="J35" s="1303">
        <f>'7&amp;8 Day'!AD153</f>
        <v>0</v>
      </c>
      <c r="K35" s="1303">
        <f>'7&amp;8 Day'!AD205</f>
        <v>0.16089540362619761</v>
      </c>
      <c r="L35" s="1303">
        <f>'7&amp;8 Day'!AD258</f>
        <v>0</v>
      </c>
      <c r="M35" s="1304">
        <f>'7&amp;8 Day'!AD311</f>
        <v>0</v>
      </c>
      <c r="N35" s="1302">
        <v>0</v>
      </c>
      <c r="O35" s="1303">
        <f>'7&amp;8 SU'!AD101</f>
        <v>0</v>
      </c>
      <c r="P35" s="1303">
        <f>'7&amp;8 SU'!AD153</f>
        <v>0</v>
      </c>
      <c r="Q35" s="1303">
        <f>'7&amp;8 SU'!AD205</f>
        <v>0</v>
      </c>
      <c r="R35" s="1303">
        <f>'7&amp;8 SU'!AD258</f>
        <v>0.29515978455610892</v>
      </c>
      <c r="S35" s="1304">
        <f>'7&amp;8 SU'!AD311</f>
        <v>0</v>
      </c>
    </row>
    <row r="36" spans="1:19" x14ac:dyDescent="0.25">
      <c r="A36" s="1299">
        <v>2033</v>
      </c>
      <c r="B36" s="1302">
        <v>0</v>
      </c>
      <c r="C36" s="1303">
        <f>'7&amp;8 Sleep'!AD102</f>
        <v>0</v>
      </c>
      <c r="D36" s="1303">
        <f>'7&amp;8 Sleep'!AD154</f>
        <v>0</v>
      </c>
      <c r="E36" s="1303">
        <f>'7&amp;8 Sleep'!AD206</f>
        <v>0</v>
      </c>
      <c r="F36" s="1303">
        <f>'7&amp;8 Sleep'!AD259</f>
        <v>0</v>
      </c>
      <c r="G36" s="1304">
        <f>'7&amp;8 Sleep'!AD312</f>
        <v>0</v>
      </c>
      <c r="H36" s="1302">
        <v>0</v>
      </c>
      <c r="I36" s="1303">
        <f>'7&amp;8 Day'!AD102</f>
        <v>0</v>
      </c>
      <c r="J36" s="1303">
        <f>'7&amp;8 Day'!AD154</f>
        <v>0</v>
      </c>
      <c r="K36" s="1303">
        <f>'7&amp;8 Day'!AD206</f>
        <v>0.17560981300402026</v>
      </c>
      <c r="L36" s="1303">
        <f>'7&amp;8 Day'!AD259</f>
        <v>0</v>
      </c>
      <c r="M36" s="1304">
        <f>'7&amp;8 Day'!AD312</f>
        <v>0</v>
      </c>
      <c r="N36" s="1302">
        <v>0</v>
      </c>
      <c r="O36" s="1303">
        <f>'7&amp;8 SU'!AD102</f>
        <v>0</v>
      </c>
      <c r="P36" s="1303">
        <f>'7&amp;8 SU'!AD154</f>
        <v>0</v>
      </c>
      <c r="Q36" s="1303">
        <f>'7&amp;8 SU'!AD206</f>
        <v>0</v>
      </c>
      <c r="R36" s="1303">
        <f>'7&amp;8 SU'!AD259</f>
        <v>0.31778784676315741</v>
      </c>
      <c r="S36" s="1304">
        <f>'7&amp;8 SU'!AD312</f>
        <v>0</v>
      </c>
    </row>
    <row r="37" spans="1:19" x14ac:dyDescent="0.25">
      <c r="A37" s="1299">
        <v>2034</v>
      </c>
      <c r="B37" s="1302">
        <v>0</v>
      </c>
      <c r="C37" s="1303">
        <f>'7&amp;8 Sleep'!AD103</f>
        <v>0</v>
      </c>
      <c r="D37" s="1303">
        <f>'7&amp;8 Sleep'!AD155</f>
        <v>0</v>
      </c>
      <c r="E37" s="1303">
        <f>'7&amp;8 Sleep'!AD207</f>
        <v>0</v>
      </c>
      <c r="F37" s="1303">
        <f>'7&amp;8 Sleep'!AD260</f>
        <v>0</v>
      </c>
      <c r="G37" s="1304">
        <f>'7&amp;8 Sleep'!AD313</f>
        <v>0</v>
      </c>
      <c r="H37" s="1302">
        <v>0</v>
      </c>
      <c r="I37" s="1303">
        <f>'7&amp;8 Day'!AD103</f>
        <v>0</v>
      </c>
      <c r="J37" s="1303">
        <f>'7&amp;8 Day'!AD155</f>
        <v>0</v>
      </c>
      <c r="K37" s="1303">
        <f>'7&amp;8 Day'!AD207</f>
        <v>0.19862313523539418</v>
      </c>
      <c r="L37" s="1303">
        <f>'7&amp;8 Day'!AD260</f>
        <v>0</v>
      </c>
      <c r="M37" s="1304">
        <f>'7&amp;8 Day'!AD313</f>
        <v>0</v>
      </c>
      <c r="N37" s="1302">
        <v>0</v>
      </c>
      <c r="O37" s="1303">
        <f>'7&amp;8 SU'!AD103</f>
        <v>0</v>
      </c>
      <c r="P37" s="1303">
        <f>'7&amp;8 SU'!AD155</f>
        <v>0</v>
      </c>
      <c r="Q37" s="1303">
        <f>'7&amp;8 SU'!AD207</f>
        <v>0</v>
      </c>
      <c r="R37" s="1303">
        <f>'7&amp;8 SU'!AD260</f>
        <v>0.34346151733176039</v>
      </c>
      <c r="S37" s="1304">
        <f>'7&amp;8 SU'!AD313</f>
        <v>0</v>
      </c>
    </row>
    <row r="38" spans="1:19" x14ac:dyDescent="0.25">
      <c r="A38" s="1305">
        <v>2035</v>
      </c>
      <c r="B38" s="1306">
        <v>0</v>
      </c>
      <c r="C38" s="1307">
        <f>'7&amp;8 Sleep'!AD104</f>
        <v>0</v>
      </c>
      <c r="D38" s="1307">
        <f>'7&amp;8 Sleep'!AD156</f>
        <v>0</v>
      </c>
      <c r="E38" s="1307">
        <f>'7&amp;8 Sleep'!AD208</f>
        <v>0</v>
      </c>
      <c r="F38" s="1307">
        <f>'7&amp;8 Sleep'!AD261</f>
        <v>0</v>
      </c>
      <c r="G38" s="1308">
        <f>'7&amp;8 Sleep'!AD314</f>
        <v>0</v>
      </c>
      <c r="H38" s="1306">
        <v>0</v>
      </c>
      <c r="I38" s="1307">
        <f>'7&amp;8 Day'!AD104</f>
        <v>0</v>
      </c>
      <c r="J38" s="1307">
        <f>'7&amp;8 Day'!AD156</f>
        <v>0</v>
      </c>
      <c r="K38" s="1307">
        <f>'7&amp;8 Day'!AD208</f>
        <v>0.22463191959491768</v>
      </c>
      <c r="L38" s="1307">
        <f>'7&amp;8 Day'!AD261</f>
        <v>0</v>
      </c>
      <c r="M38" s="1308">
        <f>'7&amp;8 Day'!AD314</f>
        <v>0</v>
      </c>
      <c r="N38" s="1306">
        <v>0</v>
      </c>
      <c r="O38" s="1307">
        <f>'7&amp;8 SU'!AD104</f>
        <v>0</v>
      </c>
      <c r="P38" s="1307">
        <f>'7&amp;8 SU'!AD156</f>
        <v>0</v>
      </c>
      <c r="Q38" s="1307">
        <f>'7&amp;8 SU'!AD208</f>
        <v>0</v>
      </c>
      <c r="R38" s="1307">
        <f>'7&amp;8 SU'!AD261</f>
        <v>0.37398613288836235</v>
      </c>
      <c r="S38" s="1308">
        <f>'7&amp;8 SU'!AD314</f>
        <v>0</v>
      </c>
    </row>
    <row r="39" spans="1:19" x14ac:dyDescent="0.25">
      <c r="A39" s="1299">
        <v>2036</v>
      </c>
      <c r="B39" s="1309">
        <v>0</v>
      </c>
      <c r="C39" s="1310">
        <f>'7&amp;8 Sleep'!AD105</f>
        <v>0</v>
      </c>
      <c r="D39" s="1310">
        <f>'7&amp;8 Sleep'!AD157</f>
        <v>0</v>
      </c>
      <c r="E39" s="1310">
        <f>'7&amp;8 Sleep'!AD209</f>
        <v>0</v>
      </c>
      <c r="F39" s="1310">
        <f>'7&amp;8 Sleep'!AD262</f>
        <v>0.30159994361228709</v>
      </c>
      <c r="G39" s="1311">
        <f>'7&amp;8 Sleep'!AD315</f>
        <v>0</v>
      </c>
      <c r="H39" s="1309">
        <v>0</v>
      </c>
      <c r="I39" s="1310">
        <f>'7&amp;8 Day'!AD105</f>
        <v>0</v>
      </c>
      <c r="J39" s="1310">
        <f>'7&amp;8 Day'!AD157</f>
        <v>0</v>
      </c>
      <c r="K39" s="1310">
        <f>'7&amp;8 Day'!AD209</f>
        <v>0.23351408217430317</v>
      </c>
      <c r="L39" s="1310">
        <f>'7&amp;8 Day'!AD262</f>
        <v>0</v>
      </c>
      <c r="M39" s="1311">
        <f>'7&amp;8 Day'!AD315</f>
        <v>0</v>
      </c>
      <c r="N39" s="1309">
        <v>0</v>
      </c>
      <c r="O39" s="1310">
        <f>'7&amp;8 SU'!AD105</f>
        <v>0</v>
      </c>
      <c r="P39" s="1310">
        <f>'7&amp;8 SU'!AD157</f>
        <v>0</v>
      </c>
      <c r="Q39" s="1310">
        <f>'7&amp;8 SU'!AD209</f>
        <v>0</v>
      </c>
      <c r="R39" s="1310">
        <f>'7&amp;8 SU'!AD262</f>
        <v>0.38630749570203504</v>
      </c>
      <c r="S39" s="1311">
        <f>'7&amp;8 SU'!AD315</f>
        <v>0</v>
      </c>
    </row>
    <row r="40" spans="1:19" x14ac:dyDescent="0.25">
      <c r="A40" s="1299">
        <v>2037</v>
      </c>
      <c r="B40" s="1302">
        <v>0</v>
      </c>
      <c r="C40" s="1303">
        <f>'7&amp;8 Sleep'!AD106</f>
        <v>0</v>
      </c>
      <c r="D40" s="1303">
        <f>'7&amp;8 Sleep'!AD158</f>
        <v>0</v>
      </c>
      <c r="E40" s="1303">
        <f>'7&amp;8 Sleep'!AD210</f>
        <v>0</v>
      </c>
      <c r="F40" s="1303">
        <f>'7&amp;8 Sleep'!AD263</f>
        <v>0.3013491444101899</v>
      </c>
      <c r="G40" s="1304">
        <f>'7&amp;8 Sleep'!AD316</f>
        <v>0</v>
      </c>
      <c r="H40" s="1302">
        <v>0</v>
      </c>
      <c r="I40" s="1303">
        <f>'7&amp;8 Day'!AD106</f>
        <v>0</v>
      </c>
      <c r="J40" s="1303">
        <f>'7&amp;8 Day'!AD158</f>
        <v>0</v>
      </c>
      <c r="K40" s="1303">
        <f>'7&amp;8 Day'!AD210</f>
        <v>0.2390374071092512</v>
      </c>
      <c r="L40" s="1303">
        <f>'7&amp;8 Day'!AD263</f>
        <v>0</v>
      </c>
      <c r="M40" s="1304">
        <f>'7&amp;8 Day'!AD316</f>
        <v>0</v>
      </c>
      <c r="N40" s="1302">
        <v>0</v>
      </c>
      <c r="O40" s="1303">
        <f>'7&amp;8 SU'!AD106</f>
        <v>0</v>
      </c>
      <c r="P40" s="1303">
        <f>'7&amp;8 SU'!AD158</f>
        <v>0</v>
      </c>
      <c r="Q40" s="1303">
        <f>'7&amp;8 SU'!AD210</f>
        <v>0</v>
      </c>
      <c r="R40" s="1303">
        <f>'7&amp;8 SU'!AD263</f>
        <v>0.38835963868213474</v>
      </c>
      <c r="S40" s="1304">
        <f>'7&amp;8 SU'!AD316</f>
        <v>0</v>
      </c>
    </row>
    <row r="41" spans="1:19" x14ac:dyDescent="0.25">
      <c r="A41" s="1299">
        <v>2038</v>
      </c>
      <c r="B41" s="1302">
        <v>0</v>
      </c>
      <c r="C41" s="1303">
        <f>'7&amp;8 Sleep'!AD107</f>
        <v>0</v>
      </c>
      <c r="D41" s="1303">
        <f>'7&amp;8 Sleep'!AD159</f>
        <v>0</v>
      </c>
      <c r="E41" s="1303">
        <f>'7&amp;8 Sleep'!AD211</f>
        <v>0</v>
      </c>
      <c r="F41" s="1303">
        <f>'7&amp;8 Sleep'!AD264</f>
        <v>0.30199729157252786</v>
      </c>
      <c r="G41" s="1304">
        <f>'7&amp;8 Sleep'!AD317</f>
        <v>0</v>
      </c>
      <c r="H41" s="1302">
        <v>0</v>
      </c>
      <c r="I41" s="1303">
        <f>'7&amp;8 Day'!AD107</f>
        <v>0</v>
      </c>
      <c r="J41" s="1303">
        <f>'7&amp;8 Day'!AD159</f>
        <v>0</v>
      </c>
      <c r="K41" s="1303">
        <f>'7&amp;8 Day'!AD211</f>
        <v>0.25039582402848792</v>
      </c>
      <c r="L41" s="1303">
        <f>'7&amp;8 Day'!AD264</f>
        <v>0</v>
      </c>
      <c r="M41" s="1304">
        <f>'7&amp;8 Day'!AD317</f>
        <v>0</v>
      </c>
      <c r="N41" s="1302">
        <v>0</v>
      </c>
      <c r="O41" s="1303">
        <f>'7&amp;8 SU'!AD107</f>
        <v>0</v>
      </c>
      <c r="P41" s="1303">
        <f>'7&amp;8 SU'!AD159</f>
        <v>0</v>
      </c>
      <c r="Q41" s="1303">
        <f>'7&amp;8 SU'!AD211</f>
        <v>0</v>
      </c>
      <c r="R41" s="1303">
        <f>'7&amp;8 SU'!AD264</f>
        <v>0.40354389556829984</v>
      </c>
      <c r="S41" s="1304">
        <f>'7&amp;8 SU'!AD317</f>
        <v>0</v>
      </c>
    </row>
    <row r="42" spans="1:19" x14ac:dyDescent="0.25">
      <c r="A42" s="1299">
        <v>2039</v>
      </c>
      <c r="B42" s="1302">
        <v>0</v>
      </c>
      <c r="C42" s="1303">
        <f>'7&amp;8 Sleep'!AD108</f>
        <v>0</v>
      </c>
      <c r="D42" s="1303">
        <f>'7&amp;8 Sleep'!AD160</f>
        <v>0</v>
      </c>
      <c r="E42" s="1303">
        <f>'7&amp;8 Sleep'!AD212</f>
        <v>0</v>
      </c>
      <c r="F42" s="1303">
        <f>'7&amp;8 Sleep'!AD265</f>
        <v>0.30553910602058809</v>
      </c>
      <c r="G42" s="1304">
        <f>'7&amp;8 Sleep'!AD318</f>
        <v>0</v>
      </c>
      <c r="H42" s="1302">
        <v>0</v>
      </c>
      <c r="I42" s="1303">
        <f>'7&amp;8 Day'!AD108</f>
        <v>0</v>
      </c>
      <c r="J42" s="1303">
        <f>'7&amp;8 Day'!AD160</f>
        <v>0</v>
      </c>
      <c r="K42" s="1303">
        <f>'7&amp;8 Day'!AD212</f>
        <v>0.26182948771049697</v>
      </c>
      <c r="L42" s="1303">
        <f>'7&amp;8 Day'!AD265</f>
        <v>0</v>
      </c>
      <c r="M42" s="1304">
        <f>'7&amp;8 Day'!AD318</f>
        <v>0</v>
      </c>
      <c r="N42" s="1302">
        <v>0</v>
      </c>
      <c r="O42" s="1303">
        <f>'7&amp;8 SU'!AD108</f>
        <v>0</v>
      </c>
      <c r="P42" s="1303">
        <f>'7&amp;8 SU'!AD160</f>
        <v>0</v>
      </c>
      <c r="Q42" s="1303">
        <f>'7&amp;8 SU'!AD212</f>
        <v>0</v>
      </c>
      <c r="R42" s="1303">
        <f>'7&amp;8 SU'!AD265</f>
        <v>0.41901511468301195</v>
      </c>
      <c r="S42" s="1304">
        <f>'7&amp;8 SU'!AD318</f>
        <v>0</v>
      </c>
    </row>
    <row r="43" spans="1:19" x14ac:dyDescent="0.25">
      <c r="A43" s="1305">
        <v>2040</v>
      </c>
      <c r="B43" s="1306">
        <v>0</v>
      </c>
      <c r="C43" s="1307">
        <f>'7&amp;8 Sleep'!AD109</f>
        <v>0</v>
      </c>
      <c r="D43" s="1307">
        <f>'7&amp;8 Sleep'!AD161</f>
        <v>0</v>
      </c>
      <c r="E43" s="1307">
        <f>'7&amp;8 Sleep'!AD213</f>
        <v>0</v>
      </c>
      <c r="F43" s="1307">
        <f>'7&amp;8 Sleep'!AD266</f>
        <v>0.31467472965029275</v>
      </c>
      <c r="G43" s="1308">
        <f>'7&amp;8 Sleep'!AD319</f>
        <v>0</v>
      </c>
      <c r="H43" s="1328">
        <v>0</v>
      </c>
      <c r="I43" s="1329">
        <f>'7&amp;8 Day'!AD109</f>
        <v>0</v>
      </c>
      <c r="J43" s="1329">
        <f>'7&amp;8 Day'!AD161</f>
        <v>0</v>
      </c>
      <c r="K43" s="1329">
        <f>'7&amp;8 Day'!AD213</f>
        <v>0.27652509803443581</v>
      </c>
      <c r="L43" s="1329">
        <f>'7&amp;8 Day'!AD266</f>
        <v>0</v>
      </c>
      <c r="M43" s="1330">
        <f>'7&amp;8 Day'!AD319</f>
        <v>0</v>
      </c>
      <c r="N43" s="1302">
        <v>0</v>
      </c>
      <c r="O43" s="1329">
        <f>'7&amp;8 SU'!AD109</f>
        <v>0</v>
      </c>
      <c r="P43" s="1329">
        <f>'7&amp;8 SU'!AD161</f>
        <v>0</v>
      </c>
      <c r="Q43" s="1329">
        <f>'7&amp;8 SU'!AD213</f>
        <v>0</v>
      </c>
      <c r="R43" s="1329">
        <f>'7&amp;8 SU'!AD266</f>
        <v>0.44280599979538771</v>
      </c>
      <c r="S43" s="1330">
        <f>'7&amp;8 SU'!AD319</f>
        <v>0</v>
      </c>
    </row>
    <row r="44" spans="1:19" x14ac:dyDescent="0.25">
      <c r="A44" s="1299">
        <v>2041</v>
      </c>
      <c r="B44" s="1309">
        <v>0</v>
      </c>
      <c r="C44" s="1310">
        <f>'7&amp;8 Sleep'!AD110</f>
        <v>0</v>
      </c>
      <c r="D44" s="1310">
        <f>'7&amp;8 Sleep'!AD162</f>
        <v>0</v>
      </c>
      <c r="E44" s="1310">
        <f>'7&amp;8 Sleep'!AD214</f>
        <v>0</v>
      </c>
      <c r="F44" s="1310">
        <f>'7&amp;8 Sleep'!AD267</f>
        <v>0.34227278202911721</v>
      </c>
      <c r="G44" s="1311">
        <f>'7&amp;8 Sleep'!AD320</f>
        <v>0</v>
      </c>
      <c r="H44" s="1309">
        <v>0</v>
      </c>
      <c r="I44" s="1310">
        <f>'7&amp;8 Day'!AD110</f>
        <v>0</v>
      </c>
      <c r="J44" s="1310">
        <f>'7&amp;8 Day'!AD162</f>
        <v>0</v>
      </c>
      <c r="K44" s="1310">
        <f>'7&amp;8 Day'!AD214</f>
        <v>0.29189948550826367</v>
      </c>
      <c r="L44" s="1310">
        <f>'7&amp;8 Day'!AD267</f>
        <v>0</v>
      </c>
      <c r="M44" s="1311">
        <f>'7&amp;8 Day'!AD320</f>
        <v>0</v>
      </c>
      <c r="N44" s="1309">
        <v>0</v>
      </c>
      <c r="O44" s="1310">
        <f>'7&amp;8 SU'!AD110</f>
        <v>0</v>
      </c>
      <c r="P44" s="1310">
        <f>'7&amp;8 SU'!AD162</f>
        <v>0</v>
      </c>
      <c r="Q44" s="1310">
        <f>'7&amp;8 SU'!AD214</f>
        <v>0</v>
      </c>
      <c r="R44" s="1310">
        <f>'7&amp;8 SU'!AD267</f>
        <v>0.47882125539359599</v>
      </c>
      <c r="S44" s="1311">
        <f>'7&amp;8 SU'!AD320</f>
        <v>0</v>
      </c>
    </row>
    <row r="45" spans="1:19" x14ac:dyDescent="0.25">
      <c r="A45" s="1299">
        <v>2042</v>
      </c>
      <c r="B45" s="1302">
        <v>0</v>
      </c>
      <c r="C45" s="1303">
        <f>'7&amp;8 Sleep'!AD111</f>
        <v>0</v>
      </c>
      <c r="D45" s="1303">
        <f>'7&amp;8 Sleep'!AD163</f>
        <v>0</v>
      </c>
      <c r="E45" s="1303">
        <f>'7&amp;8 Sleep'!AD215</f>
        <v>0</v>
      </c>
      <c r="F45" s="1303">
        <f>'7&amp;8 Sleep'!AD268</f>
        <v>0.41008143833913918</v>
      </c>
      <c r="G45" s="1304">
        <f>'7&amp;8 Sleep'!AD321</f>
        <v>0</v>
      </c>
      <c r="H45" s="1302">
        <v>0</v>
      </c>
      <c r="I45" s="1303">
        <f>'7&amp;8 Day'!AD111</f>
        <v>0</v>
      </c>
      <c r="J45" s="1303">
        <f>'7&amp;8 Day'!AD163</f>
        <v>0</v>
      </c>
      <c r="K45" s="1303">
        <f>'7&amp;8 Day'!AD215</f>
        <v>0.31246600070318686</v>
      </c>
      <c r="L45" s="1303">
        <f>'7&amp;8 Day'!AD268</f>
        <v>0</v>
      </c>
      <c r="M45" s="1304">
        <f>'7&amp;8 Day'!AD321</f>
        <v>0</v>
      </c>
      <c r="N45" s="1302">
        <v>0</v>
      </c>
      <c r="O45" s="1303">
        <f>'7&amp;8 SU'!AD111</f>
        <v>0</v>
      </c>
      <c r="P45" s="1303">
        <f>'7&amp;8 SU'!AD163</f>
        <v>0</v>
      </c>
      <c r="Q45" s="1303">
        <f>'7&amp;8 SU'!AD215</f>
        <v>0</v>
      </c>
      <c r="R45" s="1303">
        <f>'7&amp;8 SU'!AD268</f>
        <v>0.52905323677512428</v>
      </c>
      <c r="S45" s="1304">
        <f>'7&amp;8 SU'!AD321</f>
        <v>0</v>
      </c>
    </row>
    <row r="46" spans="1:19" x14ac:dyDescent="0.25">
      <c r="A46" s="1299">
        <v>2043</v>
      </c>
      <c r="B46" s="1302">
        <v>0</v>
      </c>
      <c r="C46" s="1303">
        <f>'7&amp;8 Sleep'!AD112</f>
        <v>0</v>
      </c>
      <c r="D46" s="1303">
        <f>'7&amp;8 Sleep'!AD164</f>
        <v>0</v>
      </c>
      <c r="E46" s="1303">
        <f>'7&amp;8 Sleep'!AD216</f>
        <v>0</v>
      </c>
      <c r="F46" s="1303">
        <f>'7&amp;8 Sleep'!AD269</f>
        <v>0.4745271420760544</v>
      </c>
      <c r="G46" s="1304">
        <f>'7&amp;8 Sleep'!AD322</f>
        <v>0</v>
      </c>
      <c r="H46" s="1302">
        <v>0</v>
      </c>
      <c r="I46" s="1303">
        <f>'7&amp;8 Day'!AD112</f>
        <v>0</v>
      </c>
      <c r="J46" s="1303">
        <f>'7&amp;8 Day'!AD164</f>
        <v>0</v>
      </c>
      <c r="K46" s="1303">
        <f>'7&amp;8 Day'!AD216</f>
        <v>0.33491127424721756</v>
      </c>
      <c r="L46" s="1303">
        <f>'7&amp;8 Day'!AD269</f>
        <v>0</v>
      </c>
      <c r="M46" s="1304">
        <f>'7&amp;8 Day'!AD322</f>
        <v>0</v>
      </c>
      <c r="N46" s="1302">
        <v>0</v>
      </c>
      <c r="O46" s="1303">
        <f>'7&amp;8 SU'!AD112</f>
        <v>0</v>
      </c>
      <c r="P46" s="1303">
        <f>'7&amp;8 SU'!AD164</f>
        <v>0</v>
      </c>
      <c r="Q46" s="1303">
        <f>'7&amp;8 SU'!AD216</f>
        <v>0</v>
      </c>
      <c r="R46" s="1303">
        <f>'7&amp;8 SU'!AD269</f>
        <v>0.59158714970447779</v>
      </c>
      <c r="S46" s="1304">
        <f>'7&amp;8 SU'!AD322</f>
        <v>0</v>
      </c>
    </row>
    <row r="47" spans="1:19" x14ac:dyDescent="0.25">
      <c r="A47" s="1299">
        <v>2044</v>
      </c>
      <c r="B47" s="1302">
        <v>0</v>
      </c>
      <c r="C47" s="1303">
        <f>'7&amp;8 Sleep'!AD113</f>
        <v>0</v>
      </c>
      <c r="D47" s="1303">
        <f>'7&amp;8 Sleep'!AD165</f>
        <v>0</v>
      </c>
      <c r="E47" s="1303">
        <f>'7&amp;8 Sleep'!AD217</f>
        <v>0</v>
      </c>
      <c r="F47" s="1303">
        <f>'7&amp;8 Sleep'!AD270</f>
        <v>0.51022913870963138</v>
      </c>
      <c r="G47" s="1304">
        <f>'7&amp;8 Sleep'!AD323</f>
        <v>0</v>
      </c>
      <c r="H47" s="1302">
        <v>0</v>
      </c>
      <c r="I47" s="1303">
        <f>'7&amp;8 Day'!AD113</f>
        <v>0</v>
      </c>
      <c r="J47" s="1303">
        <f>'7&amp;8 Day'!AD165</f>
        <v>0</v>
      </c>
      <c r="K47" s="1303">
        <f>'7&amp;8 Day'!AD217</f>
        <v>0.35466524259767374</v>
      </c>
      <c r="L47" s="1303">
        <f>'7&amp;8 Day'!AD270</f>
        <v>0</v>
      </c>
      <c r="M47" s="1304">
        <f>'7&amp;8 Day'!AD323</f>
        <v>0</v>
      </c>
      <c r="N47" s="1302">
        <v>0</v>
      </c>
      <c r="O47" s="1303">
        <f>'7&amp;8 SU'!AD113</f>
        <v>0</v>
      </c>
      <c r="P47" s="1303">
        <f>'7&amp;8 SU'!AD165</f>
        <v>0</v>
      </c>
      <c r="Q47" s="1303">
        <f>'7&amp;8 SU'!AD217</f>
        <v>0</v>
      </c>
      <c r="R47" s="1303">
        <f>'7&amp;8 SU'!AD270</f>
        <v>0.64844816657189397</v>
      </c>
      <c r="S47" s="1304">
        <f>'7&amp;8 SU'!AD323</f>
        <v>0</v>
      </c>
    </row>
    <row r="48" spans="1:19" x14ac:dyDescent="0.25">
      <c r="A48" s="1305">
        <v>2045</v>
      </c>
      <c r="B48" s="1306">
        <v>0</v>
      </c>
      <c r="C48" s="1307">
        <f>'7&amp;8 Sleep'!AD114</f>
        <v>0</v>
      </c>
      <c r="D48" s="1307">
        <f>'7&amp;8 Sleep'!AD166</f>
        <v>0</v>
      </c>
      <c r="E48" s="1307">
        <f>'7&amp;8 Sleep'!AD218</f>
        <v>0</v>
      </c>
      <c r="F48" s="1307">
        <f>'7&amp;8 Sleep'!AD271</f>
        <v>0.53242859291870936</v>
      </c>
      <c r="G48" s="1308">
        <f>'7&amp;8 Sleep'!AD324</f>
        <v>0</v>
      </c>
      <c r="H48" s="1306">
        <v>0</v>
      </c>
      <c r="I48" s="1307">
        <f>'7&amp;8 Day'!AD114</f>
        <v>0</v>
      </c>
      <c r="J48" s="1307">
        <f>'7&amp;8 Day'!AD166</f>
        <v>0</v>
      </c>
      <c r="K48" s="1307">
        <f>'7&amp;8 Day'!AD218</f>
        <v>0.37039317933679961</v>
      </c>
      <c r="L48" s="1307">
        <f>'7&amp;8 Day'!AD271</f>
        <v>0</v>
      </c>
      <c r="M48" s="1308">
        <f>'7&amp;8 Day'!AD324</f>
        <v>0</v>
      </c>
      <c r="N48" s="1306">
        <v>0</v>
      </c>
      <c r="O48" s="1307">
        <f>'7&amp;8 SU'!AD114</f>
        <v>0</v>
      </c>
      <c r="P48" s="1307">
        <f>'7&amp;8 SU'!AD166</f>
        <v>0</v>
      </c>
      <c r="Q48" s="1307">
        <f>'7&amp;8 SU'!AD218</f>
        <v>0</v>
      </c>
      <c r="R48" s="1307">
        <f>'7&amp;8 SU'!AD271</f>
        <v>0.69417966910347129</v>
      </c>
      <c r="S48" s="1308">
        <f>'7&amp;8 SU'!AD324</f>
        <v>0</v>
      </c>
    </row>
    <row r="49" spans="1:19" x14ac:dyDescent="0.25">
      <c r="A49" s="1299">
        <v>2046</v>
      </c>
      <c r="B49" s="1309">
        <v>0</v>
      </c>
      <c r="C49" s="1310">
        <f>'7&amp;8 Sleep'!AD115</f>
        <v>0</v>
      </c>
      <c r="D49" s="1310">
        <f>'7&amp;8 Sleep'!AD167</f>
        <v>0</v>
      </c>
      <c r="E49" s="1310">
        <f>'7&amp;8 Sleep'!AD219</f>
        <v>0</v>
      </c>
      <c r="F49" s="1310">
        <f>'7&amp;8 Sleep'!AD272</f>
        <v>0.54298409370863887</v>
      </c>
      <c r="G49" s="1311">
        <f>'7&amp;8 Sleep'!AD325</f>
        <v>0</v>
      </c>
      <c r="H49" s="1309">
        <v>0</v>
      </c>
      <c r="I49" s="1310">
        <f>'7&amp;8 Day'!AD115</f>
        <v>0</v>
      </c>
      <c r="J49" s="1310">
        <f>'7&amp;8 Day'!AD167</f>
        <v>0</v>
      </c>
      <c r="K49" s="1310">
        <f>'7&amp;8 Day'!AD219</f>
        <v>0.37909750429546152</v>
      </c>
      <c r="L49" s="1310">
        <f>'7&amp;8 Day'!AD272</f>
        <v>0</v>
      </c>
      <c r="M49" s="1311">
        <f>'7&amp;8 Day'!AD325</f>
        <v>0</v>
      </c>
      <c r="N49" s="1309">
        <v>0</v>
      </c>
      <c r="O49" s="1310">
        <f>'7&amp;8 SU'!AD115</f>
        <v>0</v>
      </c>
      <c r="P49" s="1310">
        <f>'7&amp;8 SU'!AD167</f>
        <v>0</v>
      </c>
      <c r="Q49" s="1310">
        <f>'7&amp;8 SU'!AD219</f>
        <v>0</v>
      </c>
      <c r="R49" s="1310">
        <f>'7&amp;8 SU'!AD272</f>
        <v>0.71022730365483466</v>
      </c>
      <c r="S49" s="1311">
        <f>'7&amp;8 SU'!AD325</f>
        <v>0</v>
      </c>
    </row>
    <row r="50" spans="1:19" x14ac:dyDescent="0.25">
      <c r="A50" s="1299">
        <v>2047</v>
      </c>
      <c r="B50" s="1302">
        <v>0</v>
      </c>
      <c r="C50" s="1303">
        <f>'7&amp;8 Sleep'!AD116</f>
        <v>0</v>
      </c>
      <c r="D50" s="1303">
        <f>'7&amp;8 Sleep'!AD168</f>
        <v>0</v>
      </c>
      <c r="E50" s="1303">
        <f>'7&amp;8 Sleep'!AD220</f>
        <v>0</v>
      </c>
      <c r="F50" s="1303">
        <f>'7&amp;8 Sleep'!AD273</f>
        <v>0.54689566065756945</v>
      </c>
      <c r="G50" s="1304">
        <f>'7&amp;8 Sleep'!AD326</f>
        <v>0</v>
      </c>
      <c r="H50" s="1302">
        <v>0</v>
      </c>
      <c r="I50" s="1303">
        <f>'7&amp;8 Day'!AD116</f>
        <v>0</v>
      </c>
      <c r="J50" s="1303">
        <f>'7&amp;8 Day'!AD168</f>
        <v>0</v>
      </c>
      <c r="K50" s="1303">
        <f>'7&amp;8 Day'!AD220</f>
        <v>0.3847189519157842</v>
      </c>
      <c r="L50" s="1303">
        <f>'7&amp;8 Day'!AD273</f>
        <v>0</v>
      </c>
      <c r="M50" s="1304">
        <f>'7&amp;8 Day'!AD326</f>
        <v>0</v>
      </c>
      <c r="N50" s="1302">
        <v>0</v>
      </c>
      <c r="O50" s="1303">
        <f>'7&amp;8 SU'!AD116</f>
        <v>0</v>
      </c>
      <c r="P50" s="1303">
        <f>'7&amp;8 SU'!AD168</f>
        <v>0</v>
      </c>
      <c r="Q50" s="1303">
        <f>'7&amp;8 SU'!AD220</f>
        <v>0</v>
      </c>
      <c r="R50" s="1303">
        <f>'7&amp;8 SU'!AD273</f>
        <v>0.72172167953167454</v>
      </c>
      <c r="S50" s="1304">
        <f>'7&amp;8 SU'!AD326</f>
        <v>0</v>
      </c>
    </row>
    <row r="51" spans="1:19" x14ac:dyDescent="0.25">
      <c r="A51" s="1299">
        <v>2048</v>
      </c>
      <c r="B51" s="1302">
        <v>0</v>
      </c>
      <c r="C51" s="1303">
        <f>'7&amp;8 Sleep'!AD117</f>
        <v>0</v>
      </c>
      <c r="D51" s="1303">
        <f>'7&amp;8 Sleep'!AD169</f>
        <v>0</v>
      </c>
      <c r="E51" s="1303">
        <f>'7&amp;8 Sleep'!AD221</f>
        <v>0</v>
      </c>
      <c r="F51" s="1303">
        <f>'7&amp;8 Sleep'!AD274</f>
        <v>0.55006545807405272</v>
      </c>
      <c r="G51" s="1304">
        <f>'7&amp;8 Sleep'!AD327</f>
        <v>0</v>
      </c>
      <c r="H51" s="1302">
        <v>0</v>
      </c>
      <c r="I51" s="1303">
        <f>'7&amp;8 Day'!AD117</f>
        <v>0</v>
      </c>
      <c r="J51" s="1303">
        <f>'7&amp;8 Day'!AD169</f>
        <v>0</v>
      </c>
      <c r="K51" s="1303">
        <f>'7&amp;8 Day'!AD221</f>
        <v>0.38826181072643562</v>
      </c>
      <c r="L51" s="1303">
        <f>'7&amp;8 Day'!AD274</f>
        <v>0</v>
      </c>
      <c r="M51" s="1304">
        <f>'7&amp;8 Day'!AD327</f>
        <v>0</v>
      </c>
      <c r="N51" s="1302">
        <v>0</v>
      </c>
      <c r="O51" s="1303">
        <f>'7&amp;8 SU'!AD117</f>
        <v>0</v>
      </c>
      <c r="P51" s="1303">
        <f>'7&amp;8 SU'!AD169</f>
        <v>0</v>
      </c>
      <c r="Q51" s="1303">
        <f>'7&amp;8 SU'!AD221</f>
        <v>0</v>
      </c>
      <c r="R51" s="1303">
        <f>'7&amp;8 SU'!AD274</f>
        <v>0.72361791323076308</v>
      </c>
      <c r="S51" s="1304">
        <f>'7&amp;8 SU'!AD327</f>
        <v>0</v>
      </c>
    </row>
    <row r="52" spans="1:19" x14ac:dyDescent="0.25">
      <c r="A52" s="1299">
        <v>2049</v>
      </c>
      <c r="B52" s="1302">
        <v>0</v>
      </c>
      <c r="C52" s="1303">
        <f>'7&amp;8 Sleep'!AD118</f>
        <v>0</v>
      </c>
      <c r="D52" s="1303">
        <f>'7&amp;8 Sleep'!AD170</f>
        <v>0</v>
      </c>
      <c r="E52" s="1303">
        <f>'7&amp;8 Sleep'!AD222</f>
        <v>0</v>
      </c>
      <c r="F52" s="1303">
        <f>'7&amp;8 Sleep'!AD275</f>
        <v>0.55184895126710676</v>
      </c>
      <c r="G52" s="1304">
        <f>'7&amp;8 Sleep'!AD328</f>
        <v>0</v>
      </c>
      <c r="H52" s="1302">
        <v>0</v>
      </c>
      <c r="I52" s="1303">
        <f>'7&amp;8 Day'!AD118</f>
        <v>0</v>
      </c>
      <c r="J52" s="1303">
        <f>'7&amp;8 Day'!AD170</f>
        <v>0</v>
      </c>
      <c r="K52" s="1303">
        <f>'7&amp;8 Day'!AD222</f>
        <v>0.38961300832575274</v>
      </c>
      <c r="L52" s="1303">
        <f>'7&amp;8 Day'!AD275</f>
        <v>0</v>
      </c>
      <c r="M52" s="1304">
        <f>'7&amp;8 Day'!AD328</f>
        <v>0</v>
      </c>
      <c r="N52" s="1302">
        <v>0</v>
      </c>
      <c r="O52" s="1303">
        <f>'7&amp;8 SU'!AD118</f>
        <v>0</v>
      </c>
      <c r="P52" s="1303">
        <f>'7&amp;8 SU'!AD170</f>
        <v>0</v>
      </c>
      <c r="Q52" s="1303">
        <f>'7&amp;8 SU'!AD222</f>
        <v>0</v>
      </c>
      <c r="R52" s="1303">
        <f>'7&amp;8 SU'!AD275</f>
        <v>0.72610250600996529</v>
      </c>
      <c r="S52" s="1304">
        <f>'7&amp;8 SU'!AD328</f>
        <v>0</v>
      </c>
    </row>
    <row r="53" spans="1:19" ht="15.75" thickBot="1" x14ac:dyDescent="0.3">
      <c r="A53" s="1312">
        <v>2050</v>
      </c>
      <c r="B53" s="1313">
        <v>0</v>
      </c>
      <c r="C53" s="1314">
        <f>'7&amp;8 Sleep'!AD119</f>
        <v>0</v>
      </c>
      <c r="D53" s="1314">
        <f>'7&amp;8 Sleep'!AD171</f>
        <v>0</v>
      </c>
      <c r="E53" s="1314">
        <f>'7&amp;8 Sleep'!AD223</f>
        <v>0</v>
      </c>
      <c r="F53" s="1314">
        <f>'7&amp;8 Sleep'!AD276</f>
        <v>0.55336911716142523</v>
      </c>
      <c r="G53" s="1315">
        <f>'7&amp;8 Sleep'!AD329</f>
        <v>0</v>
      </c>
      <c r="H53" s="1313">
        <v>0</v>
      </c>
      <c r="I53" s="1314">
        <f>'7&amp;8 Day'!AD119</f>
        <v>0</v>
      </c>
      <c r="J53" s="1314">
        <f>'7&amp;8 Day'!AD171</f>
        <v>0</v>
      </c>
      <c r="K53" s="1314">
        <f>'7&amp;8 Day'!AD223</f>
        <v>0.39142929958867356</v>
      </c>
      <c r="L53" s="1314">
        <f>'7&amp;8 Day'!AD276</f>
        <v>0</v>
      </c>
      <c r="M53" s="1315">
        <f>'7&amp;8 Day'!AD329</f>
        <v>0</v>
      </c>
      <c r="N53" s="1313">
        <v>0</v>
      </c>
      <c r="O53" s="1314">
        <f>'7&amp;8 SU'!AD119</f>
        <v>0</v>
      </c>
      <c r="P53" s="1314">
        <f>'7&amp;8 SU'!AD171</f>
        <v>0</v>
      </c>
      <c r="Q53" s="1314">
        <f>'7&amp;8 SU'!AD223</f>
        <v>0</v>
      </c>
      <c r="R53" s="1314">
        <f>'7&amp;8 SU'!AD276</f>
        <v>0.72577160980744038</v>
      </c>
      <c r="S53" s="1315">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4" zoomScale="85" zoomScaleNormal="85" workbookViewId="0">
      <selection activeCell="AE23" sqref="AE23"/>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284" customFormat="1" ht="15.75" x14ac:dyDescent="0.25">
      <c r="A1" s="1316" t="s">
        <v>335</v>
      </c>
    </row>
    <row r="2" spans="1:48" s="1284" customFormat="1" ht="15" x14ac:dyDescent="0.25">
      <c r="A2" s="1284" t="s">
        <v>325</v>
      </c>
    </row>
    <row r="3" spans="1:48" s="1284" customFormat="1" ht="15.75" thickBot="1" x14ac:dyDescent="0.3"/>
    <row r="4" spans="1:48" s="1284" customFormat="1" ht="15" x14ac:dyDescent="0.25">
      <c r="A4" s="1285"/>
      <c r="B4" s="1618" t="s">
        <v>258</v>
      </c>
      <c r="C4" s="1619"/>
      <c r="D4" s="1619"/>
      <c r="E4" s="1619"/>
      <c r="F4" s="1619"/>
      <c r="G4" s="1620"/>
      <c r="H4" s="1618" t="s">
        <v>259</v>
      </c>
      <c r="I4" s="1619"/>
      <c r="J4" s="1619"/>
      <c r="K4" s="1619"/>
      <c r="L4" s="1619"/>
      <c r="M4" s="1620"/>
      <c r="N4" s="1618" t="s">
        <v>156</v>
      </c>
      <c r="O4" s="1619"/>
      <c r="P4" s="1619"/>
      <c r="Q4" s="1619"/>
      <c r="R4" s="1619"/>
      <c r="S4" s="1620"/>
      <c r="U4" s="1285"/>
      <c r="V4" s="1618" t="s">
        <v>258</v>
      </c>
      <c r="W4" s="1619"/>
      <c r="X4" s="1619"/>
      <c r="Y4" s="1619"/>
      <c r="Z4" s="1619"/>
      <c r="AA4" s="1620"/>
      <c r="AB4" s="1618" t="s">
        <v>259</v>
      </c>
      <c r="AC4" s="1619"/>
      <c r="AD4" s="1619"/>
      <c r="AE4" s="1619"/>
      <c r="AF4" s="1619"/>
      <c r="AG4" s="1620"/>
      <c r="AH4" s="1618" t="s">
        <v>156</v>
      </c>
      <c r="AI4" s="1619"/>
      <c r="AJ4" s="1619"/>
      <c r="AK4" s="1619"/>
      <c r="AL4" s="1619"/>
      <c r="AM4" s="1620"/>
    </row>
    <row r="5" spans="1:48" s="1284" customFormat="1" ht="15" x14ac:dyDescent="0.25">
      <c r="A5" s="1286"/>
      <c r="B5" s="1621" t="s">
        <v>129</v>
      </c>
      <c r="C5" s="1622"/>
      <c r="D5" s="1622"/>
      <c r="E5" s="1622"/>
      <c r="F5" s="1622"/>
      <c r="G5" s="1623"/>
      <c r="H5" s="1621" t="s">
        <v>129</v>
      </c>
      <c r="I5" s="1622"/>
      <c r="J5" s="1622"/>
      <c r="K5" s="1622"/>
      <c r="L5" s="1622"/>
      <c r="M5" s="1623"/>
      <c r="N5" s="1621" t="s">
        <v>129</v>
      </c>
      <c r="O5" s="1622"/>
      <c r="P5" s="1622"/>
      <c r="Q5" s="1622"/>
      <c r="R5" s="1622"/>
      <c r="S5" s="1623"/>
      <c r="U5" s="1286"/>
      <c r="V5" s="1621" t="s">
        <v>129</v>
      </c>
      <c r="W5" s="1622"/>
      <c r="X5" s="1622"/>
      <c r="Y5" s="1622"/>
      <c r="Z5" s="1622"/>
      <c r="AA5" s="1623"/>
      <c r="AB5" s="1621" t="s">
        <v>129</v>
      </c>
      <c r="AC5" s="1622"/>
      <c r="AD5" s="1622"/>
      <c r="AE5" s="1622"/>
      <c r="AF5" s="1622"/>
      <c r="AG5" s="1623"/>
      <c r="AH5" s="1621" t="s">
        <v>129</v>
      </c>
      <c r="AI5" s="1622"/>
      <c r="AJ5" s="1622"/>
      <c r="AK5" s="1622"/>
      <c r="AL5" s="1622"/>
      <c r="AM5" s="1623"/>
    </row>
    <row r="6" spans="1:48" s="1284" customFormat="1" ht="15"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c r="U6" s="1286"/>
      <c r="V6" s="1287" t="s">
        <v>69</v>
      </c>
      <c r="W6" s="1288" t="s">
        <v>65</v>
      </c>
      <c r="X6" s="1288" t="s">
        <v>66</v>
      </c>
      <c r="Y6" s="1288" t="s">
        <v>67</v>
      </c>
      <c r="Z6" s="1288" t="s">
        <v>207</v>
      </c>
      <c r="AA6" s="1289" t="s">
        <v>208</v>
      </c>
      <c r="AB6" s="1287" t="s">
        <v>69</v>
      </c>
      <c r="AC6" s="1288" t="s">
        <v>65</v>
      </c>
      <c r="AD6" s="1288" t="s">
        <v>66</v>
      </c>
      <c r="AE6" s="1288" t="s">
        <v>67</v>
      </c>
      <c r="AF6" s="1288" t="s">
        <v>207</v>
      </c>
      <c r="AG6" s="1289" t="s">
        <v>208</v>
      </c>
      <c r="AH6" s="1287" t="s">
        <v>69</v>
      </c>
      <c r="AI6" s="1288" t="s">
        <v>65</v>
      </c>
      <c r="AJ6" s="1288" t="s">
        <v>66</v>
      </c>
      <c r="AK6" s="1288" t="s">
        <v>67</v>
      </c>
      <c r="AL6" s="1288" t="s">
        <v>207</v>
      </c>
      <c r="AM6" s="1289" t="s">
        <v>208</v>
      </c>
    </row>
    <row r="7" spans="1:48" s="1284" customFormat="1" ht="45" customHeight="1" x14ac:dyDescent="0.25">
      <c r="A7" s="1290"/>
      <c r="B7" s="1291" t="str">
        <f t="shared" ref="B7:G7" si="0">INDEX(TECH_OPT_DESC_Cls1,MATCH(B6,TECH_OPT_ROWS_Cls1,0))</f>
        <v>Conventional Diesel ICE</v>
      </c>
      <c r="C7" s="1292" t="str">
        <f t="shared" si="0"/>
        <v>Adv Conv</v>
      </c>
      <c r="D7" s="1292" t="str">
        <f t="shared" si="0"/>
        <v>ISG</v>
      </c>
      <c r="E7" s="1292" t="str">
        <f t="shared" si="0"/>
        <v>HEV</v>
      </c>
      <c r="F7" s="1292" t="str">
        <f t="shared" si="0"/>
        <v>PHEV</v>
      </c>
      <c r="G7" s="1293" t="str">
        <f t="shared"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c r="U7" s="1290"/>
      <c r="V7" s="1291" t="str">
        <f t="shared" ref="V7:AA7" si="3">INDEX(TECH_OPT_DESC_Cls1,MATCH(V6,TECH_OPT_ROWS_Cls1,0))</f>
        <v>Conventional Diesel ICE</v>
      </c>
      <c r="W7" s="1292" t="str">
        <f t="shared" si="3"/>
        <v>Adv Conv</v>
      </c>
      <c r="X7" s="1292" t="str">
        <f t="shared" si="3"/>
        <v>ISG</v>
      </c>
      <c r="Y7" s="1292" t="str">
        <f t="shared" si="3"/>
        <v>HEV</v>
      </c>
      <c r="Z7" s="1292" t="str">
        <f t="shared" si="3"/>
        <v>PHEV</v>
      </c>
      <c r="AA7" s="1293" t="str">
        <f t="shared" si="3"/>
        <v>FCHEV</v>
      </c>
      <c r="AB7" s="1291" t="str">
        <f t="shared" ref="AB7:AG7" si="4">INDEX(TECH_OPT_DESC_Cls2,MATCH(AB6,TECH_OPT_ROWS_Cls2,0))</f>
        <v>Conventional Diesel ICE</v>
      </c>
      <c r="AC7" s="1292" t="str">
        <f t="shared" si="4"/>
        <v>Adv Conv</v>
      </c>
      <c r="AD7" s="1292" t="str">
        <f t="shared" si="4"/>
        <v>ISG</v>
      </c>
      <c r="AE7" s="1292" t="str">
        <f t="shared" si="4"/>
        <v>PHEV</v>
      </c>
      <c r="AF7" s="1292" t="str">
        <f t="shared" si="4"/>
        <v>BEV</v>
      </c>
      <c r="AG7" s="1293" t="str">
        <f t="shared" si="4"/>
        <v>FCHEV</v>
      </c>
      <c r="AH7" s="1291" t="str">
        <f t="shared" ref="AH7:AM7" si="5">INDEX(TECH_OPT_DESC_Cls3,MATCH(AH6,TECH_OPT_ROWS_Cls3,0))</f>
        <v>Conventional Diesel ICE</v>
      </c>
      <c r="AI7" s="1292" t="str">
        <f t="shared" si="5"/>
        <v>Adv Conv</v>
      </c>
      <c r="AJ7" s="1292" t="str">
        <f t="shared" si="5"/>
        <v>ISG</v>
      </c>
      <c r="AK7" s="1292" t="str">
        <f t="shared" si="5"/>
        <v>HEV</v>
      </c>
      <c r="AL7" s="1292" t="str">
        <f t="shared" si="5"/>
        <v>PHEV</v>
      </c>
      <c r="AM7" s="1293" t="str">
        <f t="shared" si="5"/>
        <v>BEV</v>
      </c>
      <c r="AO7" s="1627" t="s">
        <v>395</v>
      </c>
      <c r="AP7" s="1628"/>
      <c r="AQ7" s="1629"/>
      <c r="AR7" s="1448"/>
      <c r="AS7" s="1627" t="s">
        <v>396</v>
      </c>
      <c r="AT7" s="1628"/>
      <c r="AU7" s="1628"/>
      <c r="AV7" s="1629"/>
    </row>
    <row r="8" spans="1:48" s="1284" customFormat="1" ht="15.75" thickBot="1" x14ac:dyDescent="0.3">
      <c r="A8" s="1294" t="s">
        <v>3</v>
      </c>
      <c r="B8" s="1295" t="str">
        <f t="shared" ref="B8:G8" si="6">INDEX(TECH_OPT_FUEL1_Cls1,MATCH(B6,TECH_OPT_ROWS_Cls1,0))</f>
        <v>Diesel</v>
      </c>
      <c r="C8" s="1296" t="str">
        <f t="shared" si="6"/>
        <v>Diesel</v>
      </c>
      <c r="D8" s="1296" t="str">
        <f t="shared" si="6"/>
        <v>Diesel</v>
      </c>
      <c r="E8" s="1296" t="str">
        <f t="shared" si="6"/>
        <v>Diesel</v>
      </c>
      <c r="F8" s="1296" t="str">
        <f t="shared" si="6"/>
        <v>Diesel</v>
      </c>
      <c r="G8" s="1297" t="str">
        <f t="shared" si="6"/>
        <v>Hydrogen</v>
      </c>
      <c r="H8" s="1298" t="str">
        <f t="shared" ref="H8:M8" si="7">INDEX(TECH_OPT_FUEL1_Cls2,MATCH(H6,TECH_OPT_ROWS_Cls2,0))</f>
        <v>Diesel</v>
      </c>
      <c r="I8" s="1296" t="str">
        <f t="shared" si="7"/>
        <v>Diesel</v>
      </c>
      <c r="J8" s="1296" t="str">
        <f t="shared" si="7"/>
        <v>Diesel</v>
      </c>
      <c r="K8" s="1296" t="str">
        <f t="shared" si="7"/>
        <v>Diesel</v>
      </c>
      <c r="L8" s="1296" t="str">
        <f t="shared" si="7"/>
        <v>Electricity</v>
      </c>
      <c r="M8" s="1297" t="str">
        <f t="shared" si="7"/>
        <v>Hydrogen</v>
      </c>
      <c r="N8" s="1295" t="str">
        <f t="shared" ref="N8:S8" si="8">INDEX(TECH_OPT_FUEL1_Cls3,MATCH(N6,TECH_OPT_ROWS_Cls3,0))</f>
        <v>Diesel</v>
      </c>
      <c r="O8" s="1296" t="str">
        <f t="shared" si="8"/>
        <v>Diesel</v>
      </c>
      <c r="P8" s="1296" t="str">
        <f t="shared" si="8"/>
        <v>Diesel</v>
      </c>
      <c r="Q8" s="1296" t="str">
        <f t="shared" si="8"/>
        <v>Diesel</v>
      </c>
      <c r="R8" s="1296" t="str">
        <f t="shared" si="8"/>
        <v>Diesel</v>
      </c>
      <c r="S8" s="1297" t="str">
        <f t="shared" si="8"/>
        <v>Electricity</v>
      </c>
      <c r="U8" s="1294" t="s">
        <v>3</v>
      </c>
      <c r="V8" s="1295" t="str">
        <f t="shared" ref="V8:AA8" si="9">INDEX(TECH_OPT_FUEL1_Cls1,MATCH(V6,TECH_OPT_ROWS_Cls1,0))</f>
        <v>Diesel</v>
      </c>
      <c r="W8" s="1296" t="str">
        <f t="shared" si="9"/>
        <v>Diesel</v>
      </c>
      <c r="X8" s="1296" t="str">
        <f t="shared" si="9"/>
        <v>Diesel</v>
      </c>
      <c r="Y8" s="1296" t="str">
        <f t="shared" si="9"/>
        <v>Diesel</v>
      </c>
      <c r="Z8" s="1296" t="str">
        <f t="shared" si="9"/>
        <v>Diesel</v>
      </c>
      <c r="AA8" s="1297" t="str">
        <f t="shared" si="9"/>
        <v>Hydrogen</v>
      </c>
      <c r="AB8" s="1298" t="str">
        <f t="shared" ref="AB8:AG8" si="10">INDEX(TECH_OPT_FUEL1_Cls2,MATCH(AB6,TECH_OPT_ROWS_Cls2,0))</f>
        <v>Diesel</v>
      </c>
      <c r="AC8" s="1296" t="str">
        <f t="shared" si="10"/>
        <v>Diesel</v>
      </c>
      <c r="AD8" s="1296" t="str">
        <f t="shared" si="10"/>
        <v>Diesel</v>
      </c>
      <c r="AE8" s="1296" t="str">
        <f t="shared" si="10"/>
        <v>Diesel</v>
      </c>
      <c r="AF8" s="1296" t="str">
        <f t="shared" si="10"/>
        <v>Electricity</v>
      </c>
      <c r="AG8" s="1297" t="str">
        <f t="shared" si="10"/>
        <v>Hydrogen</v>
      </c>
      <c r="AH8" s="1295" t="str">
        <f t="shared" ref="AH8:AM8" si="11">INDEX(TECH_OPT_FUEL1_Cls3,MATCH(AH6,TECH_OPT_ROWS_Cls3,0))</f>
        <v>Diesel</v>
      </c>
      <c r="AI8" s="1296" t="str">
        <f t="shared" si="11"/>
        <v>Diesel</v>
      </c>
      <c r="AJ8" s="1296" t="str">
        <f t="shared" si="11"/>
        <v>Diesel</v>
      </c>
      <c r="AK8" s="1296" t="str">
        <f t="shared" si="11"/>
        <v>Diesel</v>
      </c>
      <c r="AL8" s="1296" t="str">
        <f t="shared" si="11"/>
        <v>Diesel</v>
      </c>
      <c r="AM8" s="1297" t="str">
        <f t="shared" si="11"/>
        <v>Electricity</v>
      </c>
      <c r="AO8" s="1432" t="s">
        <v>392</v>
      </c>
      <c r="AP8" s="1433" t="s">
        <v>393</v>
      </c>
      <c r="AQ8" s="1434" t="s">
        <v>394</v>
      </c>
      <c r="AR8" s="1449"/>
      <c r="AS8" s="1432" t="s">
        <v>392</v>
      </c>
      <c r="AT8" s="1433" t="s">
        <v>393</v>
      </c>
      <c r="AU8" s="1433" t="s">
        <v>394</v>
      </c>
      <c r="AV8" s="1439" t="s">
        <v>391</v>
      </c>
    </row>
    <row r="9" spans="1:48" s="1284" customFormat="1" ht="15.75" thickTop="1" x14ac:dyDescent="0.25">
      <c r="A9" s="1299">
        <v>2007</v>
      </c>
      <c r="B9" s="1353">
        <f>IF('Mkt Pen Veh-Mi'!B9=0,1,1/((1-Fuel2ShrbyTech!B10)/'Inputs 7&amp;8 Sleep'!$N22+Fuel2ShrbyTech!B10/'Inputs 7&amp;8 Sleep'!$T22))</f>
        <v>5.9278738513698928</v>
      </c>
      <c r="C9" s="1350">
        <f>IF('Mkt Pen Veh-Mi'!C9=0,1,1/((1-Fuel2ShrbyTech!C10)/'Inputs 7&amp;8 Sleep'!$O22+Fuel2ShrbyTech!C10/'Inputs 7&amp;8 Sleep'!$U22))</f>
        <v>1</v>
      </c>
      <c r="D9" s="1350">
        <f>IF('Mkt Pen Veh-Mi'!D9=0,1,1/((1-Fuel2ShrbyTech!D10)/'Inputs 7&amp;8 Sleep'!$P22+Fuel2ShrbyTech!D10/'Inputs 7&amp;8 Sleep'!$V22))</f>
        <v>1</v>
      </c>
      <c r="E9" s="1350">
        <f>IF('Mkt Pen Veh-Mi'!E9=0,1,1/((1-Fuel2ShrbyTech!E10)/'Inputs 7&amp;8 Sleep'!$Q22+Fuel2ShrbyTech!E10/'Inputs 7&amp;8 Sleep'!$W22))</f>
        <v>1</v>
      </c>
      <c r="F9" s="1350">
        <f>IF('Mkt Pen Veh-Mi'!F9=0,1,1/((1-Fuel2ShrbyTech!F10)/'Inputs 7&amp;8 Sleep'!$R22+Fuel2ShrbyTech!F10/'Inputs 7&amp;8 Sleep'!$X22))</f>
        <v>1</v>
      </c>
      <c r="G9" s="1351">
        <f>IF('Mkt Pen Veh-Mi'!G9=0,1,1/((1-Fuel2ShrbyTech!G10)/'Inputs 7&amp;8 Sleep'!$S22+Fuel2ShrbyTech!G10/'Inputs 7&amp;8 Sleep'!$Y22))</f>
        <v>1</v>
      </c>
      <c r="H9" s="1353">
        <f>IF('Mkt Pen Veh-Mi'!H9=0,1,1/((1-Fuel2ShrbyTech!H10)/'Inputs 7&amp;8 Day'!$N22+Fuel2ShrbyTech!H10/'Inputs 7&amp;8 Day'!$T22))</f>
        <v>5.48300341765977</v>
      </c>
      <c r="I9" s="1350">
        <f>IF('Mkt Pen Veh-Mi'!I9=0,1,1/((1-Fuel2ShrbyTech!I10)/'Inputs 7&amp;8 Day'!$O22+Fuel2ShrbyTech!I10/'Inputs 7&amp;8 Day'!$U22))</f>
        <v>1</v>
      </c>
      <c r="J9" s="1350">
        <f>IF('Mkt Pen Veh-Mi'!J9=0,1,1/((1-Fuel2ShrbyTech!J10)/'Inputs 7&amp;8 Day'!$P22+Fuel2ShrbyTech!J10/'Inputs 7&amp;8 Day'!$V22))</f>
        <v>1</v>
      </c>
      <c r="K9" s="1350">
        <f>IF('Mkt Pen Veh-Mi'!K9=0,1,1/((1-Fuel2ShrbyTech!K10)/'Inputs 7&amp;8 Day'!$Q22+Fuel2ShrbyTech!K10/'Inputs 7&amp;8 Day'!$W22))</f>
        <v>1</v>
      </c>
      <c r="L9" s="1350">
        <f>IF('Mkt Pen Veh-Mi'!L9=0,1,1/((1-Fuel2ShrbyTech!L10)/'Inputs 7&amp;8 Day'!$R22+Fuel2ShrbyTech!L10/'Inputs 7&amp;8 Day'!$X22))</f>
        <v>1</v>
      </c>
      <c r="M9" s="1351">
        <f>IF('Mkt Pen Veh-Mi'!M9=0,1,1/((1-Fuel2ShrbyTech!M10)/'Inputs 7&amp;8 Day'!$S22+Fuel2ShrbyTech!M10/'Inputs 7&amp;8 Day'!$Y22))</f>
        <v>1</v>
      </c>
      <c r="N9" s="1353">
        <f>IF('Mkt Pen Veh-Mi'!N9=0,1,1/((1-Fuel2ShrbyTech!N10)/'Inputs 7&amp;8 SU'!$N22+Fuel2ShrbyTech!N10/'Inputs 7&amp;8 SU'!$T22))</f>
        <v>5.8642619111794092</v>
      </c>
      <c r="O9" s="1350">
        <f>IF('Mkt Pen Veh-Mi'!O9=0,1,1/((1-Fuel2ShrbyTech!O10)/'Inputs 7&amp;8 SU'!$O22+Fuel2ShrbyTech!O10/'Inputs 7&amp;8 SU'!$U22))</f>
        <v>1</v>
      </c>
      <c r="P9" s="1350">
        <f>IF('Mkt Pen Veh-Mi'!P9=0,1,1/((1-Fuel2ShrbyTech!P10)/'Inputs 7&amp;8 SU'!$P22+Fuel2ShrbyTech!P10/'Inputs 7&amp;8 SU'!$V22))</f>
        <v>1</v>
      </c>
      <c r="Q9" s="1350">
        <f>IF('Mkt Pen Veh-Mi'!Q9=0,1,1/((1-Fuel2ShrbyTech!Q10)/'Inputs 7&amp;8 SU'!$Q22+Fuel2ShrbyTech!Q10/'Inputs 7&amp;8 SU'!$W22))</f>
        <v>1</v>
      </c>
      <c r="R9" s="1350">
        <f>IF('Mkt Pen Veh-Mi'!R9=0,1,1/((1-Fuel2ShrbyTech!R10)/'Inputs 7&amp;8 SU'!$R22+Fuel2ShrbyTech!R10/'Inputs 7&amp;8 SU'!$X22))</f>
        <v>1</v>
      </c>
      <c r="S9" s="1352">
        <f>IF('Mkt Pen Veh-Mi'!S9=0,1,1/((1-Fuel2ShrbyTech!S10)/'Inputs 7&amp;8 SU'!$S22+Fuel2ShrbyTech!S10/'Inputs 7&amp;8 SU'!$Y22))</f>
        <v>1</v>
      </c>
      <c r="U9" s="1299">
        <f>A9</f>
        <v>2007</v>
      </c>
      <c r="V9" s="1353">
        <f>IF(B9=1,0,B9)</f>
        <v>5.9278738513698928</v>
      </c>
      <c r="W9" s="1350">
        <f t="shared" ref="W9:AM9" si="12">IF(C9=1,0,C9)</f>
        <v>0</v>
      </c>
      <c r="X9" s="1350">
        <f t="shared" si="12"/>
        <v>0</v>
      </c>
      <c r="Y9" s="1350">
        <f t="shared" si="12"/>
        <v>0</v>
      </c>
      <c r="Z9" s="1350">
        <f t="shared" si="12"/>
        <v>0</v>
      </c>
      <c r="AA9" s="1351">
        <f t="shared" si="12"/>
        <v>0</v>
      </c>
      <c r="AB9" s="1353">
        <f t="shared" si="12"/>
        <v>5.48300341765977</v>
      </c>
      <c r="AC9" s="1350">
        <f t="shared" si="12"/>
        <v>0</v>
      </c>
      <c r="AD9" s="1350">
        <f t="shared" si="12"/>
        <v>0</v>
      </c>
      <c r="AE9" s="1350">
        <f t="shared" si="12"/>
        <v>0</v>
      </c>
      <c r="AF9" s="1350">
        <f t="shared" si="12"/>
        <v>0</v>
      </c>
      <c r="AG9" s="1351">
        <f t="shared" si="12"/>
        <v>0</v>
      </c>
      <c r="AH9" s="1353">
        <f t="shared" si="12"/>
        <v>5.8642619111794092</v>
      </c>
      <c r="AI9" s="1350">
        <f t="shared" si="12"/>
        <v>0</v>
      </c>
      <c r="AJ9" s="1350">
        <f t="shared" si="12"/>
        <v>0</v>
      </c>
      <c r="AK9" s="1350">
        <f t="shared" si="12"/>
        <v>0</v>
      </c>
      <c r="AL9" s="1350">
        <f t="shared" si="12"/>
        <v>0</v>
      </c>
      <c r="AM9" s="1352">
        <f t="shared" si="12"/>
        <v>0</v>
      </c>
      <c r="AN9" s="1284">
        <v>2007</v>
      </c>
      <c r="AO9" s="1435">
        <f t="array" ref="AO9">1/SUMPRODUCT(IFERROR(1/V9:AA9,0),'Mkt Pen Veh-Mi'!B9:G9)</f>
        <v>5.9278738513698928</v>
      </c>
      <c r="AP9" s="1436">
        <f t="array" ref="AP9">1/SUMPRODUCT(IFERROR(1/AB9:AG9,0),'Mkt Pen Veh-Mi'!H9:M9)</f>
        <v>5.48300341765977</v>
      </c>
      <c r="AQ9" s="1440">
        <f t="array" ref="AQ9">1/SUMPRODUCT(IFERROR(1/AH9:AM9,0),'Mkt Pen Veh-Mi'!N9:S9)</f>
        <v>5.8642619111794092</v>
      </c>
      <c r="AR9" s="1433">
        <v>2007</v>
      </c>
      <c r="AS9" s="1435">
        <f>AO9/V9</f>
        <v>1</v>
      </c>
      <c r="AT9" s="1436">
        <f>AP9/AB9</f>
        <v>1</v>
      </c>
      <c r="AU9" s="1436">
        <f>AQ9/AH9</f>
        <v>1</v>
      </c>
      <c r="AV9" s="1440">
        <v>1</v>
      </c>
    </row>
    <row r="10" spans="1:48" s="1284" customFormat="1" ht="15" x14ac:dyDescent="0.25">
      <c r="A10" s="1299">
        <v>2008</v>
      </c>
      <c r="B10" s="1353">
        <f>IF('Mkt Pen Veh-Mi'!B10=0,1,1/((1-Fuel2ShrbyTech!B11)/'Inputs 7&amp;8 Sleep'!$N23+Fuel2ShrbyTech!B11/'Inputs 7&amp;8 Sleep'!$T23))</f>
        <v>5.9278738513698928</v>
      </c>
      <c r="C10" s="1354">
        <f>IF('Mkt Pen Veh-Mi'!C10=0,1,1/((1-Fuel2ShrbyTech!C11)/'Inputs 7&amp;8 Sleep'!$O23+Fuel2ShrbyTech!C11/'Inputs 7&amp;8 Sleep'!$U23))</f>
        <v>1</v>
      </c>
      <c r="D10" s="1354">
        <f>IF('Mkt Pen Veh-Mi'!D10=0,1,1/((1-Fuel2ShrbyTech!D11)/'Inputs 7&amp;8 Sleep'!$P23+Fuel2ShrbyTech!D11/'Inputs 7&amp;8 Sleep'!$V23))</f>
        <v>1</v>
      </c>
      <c r="E10" s="1354">
        <f>IF('Mkt Pen Veh-Mi'!E10=0,1,1/((1-Fuel2ShrbyTech!E11)/'Inputs 7&amp;8 Sleep'!$Q23+Fuel2ShrbyTech!E11/'Inputs 7&amp;8 Sleep'!$W23))</f>
        <v>1</v>
      </c>
      <c r="F10" s="1354">
        <f>IF('Mkt Pen Veh-Mi'!F10=0,1,1/((1-Fuel2ShrbyTech!F11)/'Inputs 7&amp;8 Sleep'!$R23+Fuel2ShrbyTech!F11/'Inputs 7&amp;8 Sleep'!$X23))</f>
        <v>1</v>
      </c>
      <c r="G10" s="1355">
        <f>IF('Mkt Pen Veh-Mi'!G10=0,1,1/((1-Fuel2ShrbyTech!G11)/'Inputs 7&amp;8 Sleep'!$S23+Fuel2ShrbyTech!G11/'Inputs 7&amp;8 Sleep'!$Y23))</f>
        <v>1</v>
      </c>
      <c r="H10" s="1353">
        <f>IF('Mkt Pen Veh-Mi'!H10=0,1,1/((1-Fuel2ShrbyTech!H11)/'Inputs 7&amp;8 Day'!$N23+Fuel2ShrbyTech!H11/'Inputs 7&amp;8 Day'!$T23))</f>
        <v>5.48300341765977</v>
      </c>
      <c r="I10" s="1354">
        <f>IF('Mkt Pen Veh-Mi'!I10=0,1,1/((1-Fuel2ShrbyTech!I11)/'Inputs 7&amp;8 Day'!$O23+Fuel2ShrbyTech!I11/'Inputs 7&amp;8 Day'!$U23))</f>
        <v>1</v>
      </c>
      <c r="J10" s="1354">
        <f>IF('Mkt Pen Veh-Mi'!J10=0,1,1/((1-Fuel2ShrbyTech!J11)/'Inputs 7&amp;8 Day'!$P23+Fuel2ShrbyTech!J11/'Inputs 7&amp;8 Day'!$V23))</f>
        <v>1</v>
      </c>
      <c r="K10" s="1354">
        <f>IF('Mkt Pen Veh-Mi'!K10=0,1,1/((1-Fuel2ShrbyTech!K11)/'Inputs 7&amp;8 Day'!$Q23+Fuel2ShrbyTech!K11/'Inputs 7&amp;8 Day'!$W23))</f>
        <v>1</v>
      </c>
      <c r="L10" s="1354">
        <f>IF('Mkt Pen Veh-Mi'!L10=0,1,1/((1-Fuel2ShrbyTech!L11)/'Inputs 7&amp;8 Day'!$R23+Fuel2ShrbyTech!L11/'Inputs 7&amp;8 Day'!$X23))</f>
        <v>1</v>
      </c>
      <c r="M10" s="1355">
        <f>IF('Mkt Pen Veh-Mi'!M10=0,1,1/((1-Fuel2ShrbyTech!M11)/'Inputs 7&amp;8 Day'!$S23+Fuel2ShrbyTech!M11/'Inputs 7&amp;8 Day'!$Y23))</f>
        <v>1</v>
      </c>
      <c r="N10" s="1353">
        <f>IF('Mkt Pen Veh-Mi'!N10=0,1,1/((1-Fuel2ShrbyTech!N11)/'Inputs 7&amp;8 SU'!$N23+Fuel2ShrbyTech!N11/'Inputs 7&amp;8 SU'!$T23))</f>
        <v>5.8642619111794092</v>
      </c>
      <c r="O10" s="1354">
        <f>IF('Mkt Pen Veh-Mi'!O10=0,1,1/((1-Fuel2ShrbyTech!O11)/'Inputs 7&amp;8 SU'!$O23+Fuel2ShrbyTech!O11/'Inputs 7&amp;8 SU'!$U23))</f>
        <v>1</v>
      </c>
      <c r="P10" s="1354">
        <f>IF('Mkt Pen Veh-Mi'!P10=0,1,1/((1-Fuel2ShrbyTech!P11)/'Inputs 7&amp;8 SU'!$P23+Fuel2ShrbyTech!P11/'Inputs 7&amp;8 SU'!$V23))</f>
        <v>1</v>
      </c>
      <c r="Q10" s="1354">
        <f>IF('Mkt Pen Veh-Mi'!Q10=0,1,1/((1-Fuel2ShrbyTech!Q11)/'Inputs 7&amp;8 SU'!$Q23+Fuel2ShrbyTech!Q11/'Inputs 7&amp;8 SU'!$W23))</f>
        <v>1</v>
      </c>
      <c r="R10" s="1354">
        <f>IF('Mkt Pen Veh-Mi'!R10=0,1,1/((1-Fuel2ShrbyTech!R11)/'Inputs 7&amp;8 SU'!$R23+Fuel2ShrbyTech!R11/'Inputs 7&amp;8 SU'!$X23))</f>
        <v>1</v>
      </c>
      <c r="S10" s="1355">
        <f>IF('Mkt Pen Veh-Mi'!S10=0,1,1/((1-Fuel2ShrbyTech!S11)/'Inputs 7&amp;8 SU'!$S23+Fuel2ShrbyTech!S11/'Inputs 7&amp;8 SU'!$Y23))</f>
        <v>1</v>
      </c>
      <c r="U10" s="1299">
        <f t="shared" ref="U10:U52" si="13">A10</f>
        <v>2008</v>
      </c>
      <c r="V10" s="1353">
        <f t="shared" ref="V10:V52" si="14">IF(B10=1,0,B10)</f>
        <v>5.9278738513698928</v>
      </c>
      <c r="W10" s="1354">
        <f t="shared" ref="W10:W52" si="15">IF(C10=1,0,C10)</f>
        <v>0</v>
      </c>
      <c r="X10" s="1354">
        <f t="shared" ref="X10:X52" si="16">IF(D10=1,0,D10)</f>
        <v>0</v>
      </c>
      <c r="Y10" s="1354">
        <f t="shared" ref="Y10:Y52" si="17">IF(E10=1,0,E10)</f>
        <v>0</v>
      </c>
      <c r="Z10" s="1354">
        <f t="shared" ref="Z10:Z52" si="18">IF(F10=1,0,F10)</f>
        <v>0</v>
      </c>
      <c r="AA10" s="1355">
        <f t="shared" ref="AA10:AA52" si="19">IF(G10=1,0,G10)</f>
        <v>0</v>
      </c>
      <c r="AB10" s="1353">
        <f t="shared" ref="AB10:AB52" si="20">IF(H10=1,0,H10)</f>
        <v>5.48300341765977</v>
      </c>
      <c r="AC10" s="1354">
        <f t="shared" ref="AC10:AC52" si="21">IF(I10=1,0,I10)</f>
        <v>0</v>
      </c>
      <c r="AD10" s="1354">
        <f t="shared" ref="AD10:AD52" si="22">IF(J10=1,0,J10)</f>
        <v>0</v>
      </c>
      <c r="AE10" s="1354">
        <f t="shared" ref="AE10:AE52" si="23">IF(K10=1,0,K10)</f>
        <v>0</v>
      </c>
      <c r="AF10" s="1354">
        <f t="shared" ref="AF10:AF52" si="24">IF(L10=1,0,L10)</f>
        <v>0</v>
      </c>
      <c r="AG10" s="1355">
        <f t="shared" ref="AG10:AG52" si="25">IF(M10=1,0,M10)</f>
        <v>0</v>
      </c>
      <c r="AH10" s="1353">
        <f t="shared" ref="AH10:AH52" si="26">IF(N10=1,0,N10)</f>
        <v>5.8642619111794092</v>
      </c>
      <c r="AI10" s="1354">
        <f t="shared" ref="AI10:AI52" si="27">IF(O10=1,0,O10)</f>
        <v>0</v>
      </c>
      <c r="AJ10" s="1354">
        <f t="shared" ref="AJ10:AJ52" si="28">IF(P10=1,0,P10)</f>
        <v>0</v>
      </c>
      <c r="AK10" s="1354">
        <f t="shared" ref="AK10:AK52" si="29">IF(Q10=1,0,Q10)</f>
        <v>0</v>
      </c>
      <c r="AL10" s="1354">
        <f t="shared" ref="AL10:AL52" si="30">IF(R10=1,0,R10)</f>
        <v>0</v>
      </c>
      <c r="AM10" s="1355">
        <f t="shared" ref="AM10:AM52" si="31">IF(S10=1,0,S10)</f>
        <v>0</v>
      </c>
      <c r="AN10" s="1284">
        <v>2008</v>
      </c>
      <c r="AO10" s="1435">
        <f t="array" ref="AO10">1/SUMPRODUCT(IFERROR(1/V10:AA10,0),'Mkt Pen Veh-Mi'!B10:G10)</f>
        <v>5.9278738513698928</v>
      </c>
      <c r="AP10" s="1436">
        <f t="array" ref="AP10">1/SUMPRODUCT(IFERROR(1/AB10:AG10,0),'Mkt Pen Veh-Mi'!H10:M10)</f>
        <v>5.48300341765977</v>
      </c>
      <c r="AQ10" s="1440">
        <f t="array" ref="AQ10">1/SUMPRODUCT(IFERROR(1/AH10:AM10,0),'Mkt Pen Veh-Mi'!N10:S10)</f>
        <v>5.8642619111794092</v>
      </c>
      <c r="AR10" s="1433">
        <v>2008</v>
      </c>
      <c r="AS10" s="1435">
        <f t="shared" ref="AS10:AS52" si="32">AO10/V10</f>
        <v>1</v>
      </c>
      <c r="AT10" s="1436">
        <f t="shared" ref="AT10:AT52" si="33">AP10/AB10</f>
        <v>1</v>
      </c>
      <c r="AU10" s="1436">
        <f t="shared" ref="AU10:AU52" si="34">AQ10/AH10</f>
        <v>1</v>
      </c>
      <c r="AV10" s="1440">
        <v>1</v>
      </c>
    </row>
    <row r="11" spans="1:48" s="1284" customFormat="1" ht="15" x14ac:dyDescent="0.25">
      <c r="A11" s="1299">
        <v>2009</v>
      </c>
      <c r="B11" s="1353">
        <f>IF('Mkt Pen Veh-Mi'!B11=0,1,1/((1-Fuel2ShrbyTech!B12)/'Inputs 7&amp;8 Sleep'!$N24+Fuel2ShrbyTech!B12/'Inputs 7&amp;8 Sleep'!$T24))</f>
        <v>5.9278738513698928</v>
      </c>
      <c r="C11" s="1354">
        <f>IF('Mkt Pen Veh-Mi'!C11=0,1,1/((1-Fuel2ShrbyTech!C12)/'Inputs 7&amp;8 Sleep'!$O24+Fuel2ShrbyTech!C12/'Inputs 7&amp;8 Sleep'!$U24))</f>
        <v>1</v>
      </c>
      <c r="D11" s="1354">
        <f>IF('Mkt Pen Veh-Mi'!D11=0,1,1/((1-Fuel2ShrbyTech!D12)/'Inputs 7&amp;8 Sleep'!$P24+Fuel2ShrbyTech!D12/'Inputs 7&amp;8 Sleep'!$V24))</f>
        <v>1</v>
      </c>
      <c r="E11" s="1354">
        <f>IF('Mkt Pen Veh-Mi'!E11=0,1,1/((1-Fuel2ShrbyTech!E12)/'Inputs 7&amp;8 Sleep'!$Q24+Fuel2ShrbyTech!E12/'Inputs 7&amp;8 Sleep'!$W24))</f>
        <v>1</v>
      </c>
      <c r="F11" s="1354">
        <f>IF('Mkt Pen Veh-Mi'!F11=0,1,1/((1-Fuel2ShrbyTech!F12)/'Inputs 7&amp;8 Sleep'!$R24+Fuel2ShrbyTech!F12/'Inputs 7&amp;8 Sleep'!$X24))</f>
        <v>1</v>
      </c>
      <c r="G11" s="1355">
        <f>IF('Mkt Pen Veh-Mi'!G11=0,1,1/((1-Fuel2ShrbyTech!G12)/'Inputs 7&amp;8 Sleep'!$S24+Fuel2ShrbyTech!G12/'Inputs 7&amp;8 Sleep'!$Y24))</f>
        <v>1</v>
      </c>
      <c r="H11" s="1353">
        <f>IF('Mkt Pen Veh-Mi'!H11=0,1,1/((1-Fuel2ShrbyTech!H12)/'Inputs 7&amp;8 Day'!$N24+Fuel2ShrbyTech!H12/'Inputs 7&amp;8 Day'!$T24))</f>
        <v>5.48300341765977</v>
      </c>
      <c r="I11" s="1354">
        <f>IF('Mkt Pen Veh-Mi'!I11=0,1,1/((1-Fuel2ShrbyTech!I12)/'Inputs 7&amp;8 Day'!$O24+Fuel2ShrbyTech!I12/'Inputs 7&amp;8 Day'!$U24))</f>
        <v>1</v>
      </c>
      <c r="J11" s="1354">
        <f>IF('Mkt Pen Veh-Mi'!J11=0,1,1/((1-Fuel2ShrbyTech!J12)/'Inputs 7&amp;8 Day'!$P24+Fuel2ShrbyTech!J12/'Inputs 7&amp;8 Day'!$V24))</f>
        <v>1</v>
      </c>
      <c r="K11" s="1354">
        <f>IF('Mkt Pen Veh-Mi'!K11=0,1,1/((1-Fuel2ShrbyTech!K12)/'Inputs 7&amp;8 Day'!$Q24+Fuel2ShrbyTech!K12/'Inputs 7&amp;8 Day'!$W24))</f>
        <v>1</v>
      </c>
      <c r="L11" s="1354">
        <f>IF('Mkt Pen Veh-Mi'!L11=0,1,1/((1-Fuel2ShrbyTech!L12)/'Inputs 7&amp;8 Day'!$R24+Fuel2ShrbyTech!L12/'Inputs 7&amp;8 Day'!$X24))</f>
        <v>1</v>
      </c>
      <c r="M11" s="1355">
        <f>IF('Mkt Pen Veh-Mi'!M11=0,1,1/((1-Fuel2ShrbyTech!M12)/'Inputs 7&amp;8 Day'!$S24+Fuel2ShrbyTech!M12/'Inputs 7&amp;8 Day'!$Y24))</f>
        <v>1</v>
      </c>
      <c r="N11" s="1353">
        <f>IF('Mkt Pen Veh-Mi'!N11=0,1,1/((1-Fuel2ShrbyTech!N12)/'Inputs 7&amp;8 SU'!$N24+Fuel2ShrbyTech!N12/'Inputs 7&amp;8 SU'!$T24))</f>
        <v>5.8642619111794092</v>
      </c>
      <c r="O11" s="1354">
        <f>IF('Mkt Pen Veh-Mi'!O11=0,1,1/((1-Fuel2ShrbyTech!O12)/'Inputs 7&amp;8 SU'!$O24+Fuel2ShrbyTech!O12/'Inputs 7&amp;8 SU'!$U24))</f>
        <v>1</v>
      </c>
      <c r="P11" s="1354">
        <f>IF('Mkt Pen Veh-Mi'!P11=0,1,1/((1-Fuel2ShrbyTech!P12)/'Inputs 7&amp;8 SU'!$P24+Fuel2ShrbyTech!P12/'Inputs 7&amp;8 SU'!$V24))</f>
        <v>1</v>
      </c>
      <c r="Q11" s="1354">
        <f>IF('Mkt Pen Veh-Mi'!Q11=0,1,1/((1-Fuel2ShrbyTech!Q12)/'Inputs 7&amp;8 SU'!$Q24+Fuel2ShrbyTech!Q12/'Inputs 7&amp;8 SU'!$W24))</f>
        <v>1</v>
      </c>
      <c r="R11" s="1354">
        <f>IF('Mkt Pen Veh-Mi'!R11=0,1,1/((1-Fuel2ShrbyTech!R12)/'Inputs 7&amp;8 SU'!$R24+Fuel2ShrbyTech!R12/'Inputs 7&amp;8 SU'!$X24))</f>
        <v>1</v>
      </c>
      <c r="S11" s="1355">
        <f>IF('Mkt Pen Veh-Mi'!S11=0,1,1/((1-Fuel2ShrbyTech!S12)/'Inputs 7&amp;8 SU'!$S24+Fuel2ShrbyTech!S12/'Inputs 7&amp;8 SU'!$Y24))</f>
        <v>1</v>
      </c>
      <c r="U11" s="1299">
        <f t="shared" si="13"/>
        <v>2009</v>
      </c>
      <c r="V11" s="1353">
        <f t="shared" si="14"/>
        <v>5.9278738513698928</v>
      </c>
      <c r="W11" s="1354">
        <f t="shared" si="15"/>
        <v>0</v>
      </c>
      <c r="X11" s="1354">
        <f t="shared" si="16"/>
        <v>0</v>
      </c>
      <c r="Y11" s="1354">
        <f t="shared" si="17"/>
        <v>0</v>
      </c>
      <c r="Z11" s="1354">
        <f t="shared" si="18"/>
        <v>0</v>
      </c>
      <c r="AA11" s="1355">
        <f t="shared" si="19"/>
        <v>0</v>
      </c>
      <c r="AB11" s="1353">
        <f t="shared" si="20"/>
        <v>5.48300341765977</v>
      </c>
      <c r="AC11" s="1354">
        <f t="shared" si="21"/>
        <v>0</v>
      </c>
      <c r="AD11" s="1354">
        <f t="shared" si="22"/>
        <v>0</v>
      </c>
      <c r="AE11" s="1354">
        <f t="shared" si="23"/>
        <v>0</v>
      </c>
      <c r="AF11" s="1354">
        <f t="shared" si="24"/>
        <v>0</v>
      </c>
      <c r="AG11" s="1355">
        <f t="shared" si="25"/>
        <v>0</v>
      </c>
      <c r="AH11" s="1353">
        <f t="shared" si="26"/>
        <v>5.8642619111794092</v>
      </c>
      <c r="AI11" s="1354">
        <f t="shared" si="27"/>
        <v>0</v>
      </c>
      <c r="AJ11" s="1354">
        <f t="shared" si="28"/>
        <v>0</v>
      </c>
      <c r="AK11" s="1354">
        <f t="shared" si="29"/>
        <v>0</v>
      </c>
      <c r="AL11" s="1354">
        <f t="shared" si="30"/>
        <v>0</v>
      </c>
      <c r="AM11" s="1355">
        <f t="shared" si="31"/>
        <v>0</v>
      </c>
      <c r="AN11" s="1284">
        <v>2009</v>
      </c>
      <c r="AO11" s="1435">
        <f t="array" ref="AO11">1/SUMPRODUCT(IFERROR(1/V11:AA11,0),'Mkt Pen Veh-Mi'!B11:G11)</f>
        <v>5.9278738513698928</v>
      </c>
      <c r="AP11" s="1436">
        <f t="array" ref="AP11">1/SUMPRODUCT(IFERROR(1/AB11:AG11,0),'Mkt Pen Veh-Mi'!H11:M11)</f>
        <v>5.48300341765977</v>
      </c>
      <c r="AQ11" s="1440">
        <f t="array" ref="AQ11">1/SUMPRODUCT(IFERROR(1/AH11:AM11,0),'Mkt Pen Veh-Mi'!N11:S11)</f>
        <v>5.8642619111794092</v>
      </c>
      <c r="AR11" s="1433">
        <v>2009</v>
      </c>
      <c r="AS11" s="1435">
        <f t="shared" si="32"/>
        <v>1</v>
      </c>
      <c r="AT11" s="1436">
        <f t="shared" si="33"/>
        <v>1</v>
      </c>
      <c r="AU11" s="1436">
        <f t="shared" si="34"/>
        <v>1</v>
      </c>
      <c r="AV11" s="1440">
        <v>1</v>
      </c>
    </row>
    <row r="12" spans="1:48" s="1284" customFormat="1" ht="15" x14ac:dyDescent="0.25">
      <c r="A12" s="1305">
        <v>2010</v>
      </c>
      <c r="B12" s="1356">
        <f>IF('Mkt Pen Veh-Mi'!B12=0,1,1/((1-Fuel2ShrbyTech!B13)/'Inputs 7&amp;8 Sleep'!$N25+Fuel2ShrbyTech!B13/'Inputs 7&amp;8 Sleep'!$T25))</f>
        <v>5.926980775200688</v>
      </c>
      <c r="C12" s="1357">
        <f>IF('Mkt Pen Veh-Mi'!C12=0,1,1/((1-Fuel2ShrbyTech!C13)/'Inputs 7&amp;8 Sleep'!$O25+Fuel2ShrbyTech!C13/'Inputs 7&amp;8 Sleep'!$U25))</f>
        <v>1</v>
      </c>
      <c r="D12" s="1357">
        <f>IF('Mkt Pen Veh-Mi'!D12=0,1,1/((1-Fuel2ShrbyTech!D13)/'Inputs 7&amp;8 Sleep'!$P25+Fuel2ShrbyTech!D13/'Inputs 7&amp;8 Sleep'!$V25))</f>
        <v>1</v>
      </c>
      <c r="E12" s="1357">
        <f>IF('Mkt Pen Veh-Mi'!E12=0,1,1/((1-Fuel2ShrbyTech!E13)/'Inputs 7&amp;8 Sleep'!$Q25+Fuel2ShrbyTech!E13/'Inputs 7&amp;8 Sleep'!$W25))</f>
        <v>1</v>
      </c>
      <c r="F12" s="1357">
        <f>IF('Mkt Pen Veh-Mi'!F12=0,1,1/((1-Fuel2ShrbyTech!F13)/'Inputs 7&amp;8 Sleep'!$R25+Fuel2ShrbyTech!F13/'Inputs 7&amp;8 Sleep'!$X25))</f>
        <v>1</v>
      </c>
      <c r="G12" s="1358">
        <f>IF('Mkt Pen Veh-Mi'!G12=0,1,1/((1-Fuel2ShrbyTech!G13)/'Inputs 7&amp;8 Sleep'!$S25+Fuel2ShrbyTech!G13/'Inputs 7&amp;8 Sleep'!$Y25))</f>
        <v>1</v>
      </c>
      <c r="H12" s="1356">
        <f>IF('Mkt Pen Veh-Mi'!H12=0,1,1/((1-Fuel2ShrbyTech!H13)/'Inputs 7&amp;8 Day'!$N25+Fuel2ShrbyTech!H13/'Inputs 7&amp;8 Day'!$T25))</f>
        <v>5.4834889906932611</v>
      </c>
      <c r="I12" s="1357">
        <f>IF('Mkt Pen Veh-Mi'!I12=0,1,1/((1-Fuel2ShrbyTech!I13)/'Inputs 7&amp;8 Day'!$O25+Fuel2ShrbyTech!I13/'Inputs 7&amp;8 Day'!$U25))</f>
        <v>1</v>
      </c>
      <c r="J12" s="1357">
        <f>IF('Mkt Pen Veh-Mi'!J12=0,1,1/((1-Fuel2ShrbyTech!J13)/'Inputs 7&amp;8 Day'!$P25+Fuel2ShrbyTech!J13/'Inputs 7&amp;8 Day'!$V25))</f>
        <v>1</v>
      </c>
      <c r="K12" s="1357">
        <f>IF('Mkt Pen Veh-Mi'!K12=0,1,1/((1-Fuel2ShrbyTech!K13)/'Inputs 7&amp;8 Day'!$Q25+Fuel2ShrbyTech!K13/'Inputs 7&amp;8 Day'!$W25))</f>
        <v>1</v>
      </c>
      <c r="L12" s="1357">
        <f>IF('Mkt Pen Veh-Mi'!L12=0,1,1/((1-Fuel2ShrbyTech!L13)/'Inputs 7&amp;8 Day'!$R25+Fuel2ShrbyTech!L13/'Inputs 7&amp;8 Day'!$X25))</f>
        <v>1</v>
      </c>
      <c r="M12" s="1358">
        <f>IF('Mkt Pen Veh-Mi'!M12=0,1,1/((1-Fuel2ShrbyTech!M13)/'Inputs 7&amp;8 Day'!$S25+Fuel2ShrbyTech!M13/'Inputs 7&amp;8 Day'!$Y25))</f>
        <v>1</v>
      </c>
      <c r="N12" s="1356">
        <f>IF('Mkt Pen Veh-Mi'!N12=0,1,1/((1-Fuel2ShrbyTech!N13)/'Inputs 7&amp;8 SU'!$N25+Fuel2ShrbyTech!N13/'Inputs 7&amp;8 SU'!$T25))</f>
        <v>5.8642619111794092</v>
      </c>
      <c r="O12" s="1357">
        <f>IF('Mkt Pen Veh-Mi'!O12=0,1,1/((1-Fuel2ShrbyTech!O13)/'Inputs 7&amp;8 SU'!$O25+Fuel2ShrbyTech!O13/'Inputs 7&amp;8 SU'!$U25))</f>
        <v>1</v>
      </c>
      <c r="P12" s="1357">
        <f>IF('Mkt Pen Veh-Mi'!P12=0,1,1/((1-Fuel2ShrbyTech!P13)/'Inputs 7&amp;8 SU'!$P25+Fuel2ShrbyTech!P13/'Inputs 7&amp;8 SU'!$V25))</f>
        <v>1</v>
      </c>
      <c r="Q12" s="1357">
        <f>IF('Mkt Pen Veh-Mi'!Q12=0,1,1/((1-Fuel2ShrbyTech!Q13)/'Inputs 7&amp;8 SU'!$Q25+Fuel2ShrbyTech!Q13/'Inputs 7&amp;8 SU'!$W25))</f>
        <v>1</v>
      </c>
      <c r="R12" s="1357">
        <f>IF('Mkt Pen Veh-Mi'!R12=0,1,1/((1-Fuel2ShrbyTech!R13)/'Inputs 7&amp;8 SU'!$R25+Fuel2ShrbyTech!R13/'Inputs 7&amp;8 SU'!$X25))</f>
        <v>1</v>
      </c>
      <c r="S12" s="1358">
        <f>IF('Mkt Pen Veh-Mi'!S12=0,1,1/((1-Fuel2ShrbyTech!S13)/'Inputs 7&amp;8 SU'!$S25+Fuel2ShrbyTech!S13/'Inputs 7&amp;8 SU'!$Y25))</f>
        <v>1</v>
      </c>
      <c r="U12" s="1305">
        <f t="shared" si="13"/>
        <v>2010</v>
      </c>
      <c r="V12" s="1356">
        <f t="shared" si="14"/>
        <v>5.926980775200688</v>
      </c>
      <c r="W12" s="1357">
        <f t="shared" si="15"/>
        <v>0</v>
      </c>
      <c r="X12" s="1357">
        <f t="shared" si="16"/>
        <v>0</v>
      </c>
      <c r="Y12" s="1357">
        <f t="shared" si="17"/>
        <v>0</v>
      </c>
      <c r="Z12" s="1357">
        <f t="shared" si="18"/>
        <v>0</v>
      </c>
      <c r="AA12" s="1358">
        <f t="shared" si="19"/>
        <v>0</v>
      </c>
      <c r="AB12" s="1356">
        <f t="shared" si="20"/>
        <v>5.4834889906932611</v>
      </c>
      <c r="AC12" s="1357">
        <f t="shared" si="21"/>
        <v>0</v>
      </c>
      <c r="AD12" s="1357">
        <f t="shared" si="22"/>
        <v>0</v>
      </c>
      <c r="AE12" s="1357">
        <f t="shared" si="23"/>
        <v>0</v>
      </c>
      <c r="AF12" s="1357">
        <f t="shared" si="24"/>
        <v>0</v>
      </c>
      <c r="AG12" s="1358">
        <f t="shared" si="25"/>
        <v>0</v>
      </c>
      <c r="AH12" s="1356">
        <f t="shared" si="26"/>
        <v>5.8642619111794092</v>
      </c>
      <c r="AI12" s="1357">
        <f t="shared" si="27"/>
        <v>0</v>
      </c>
      <c r="AJ12" s="1357">
        <f t="shared" si="28"/>
        <v>0</v>
      </c>
      <c r="AK12" s="1357">
        <f t="shared" si="29"/>
        <v>0</v>
      </c>
      <c r="AL12" s="1357">
        <f t="shared" si="30"/>
        <v>0</v>
      </c>
      <c r="AM12" s="1358">
        <f t="shared" si="31"/>
        <v>0</v>
      </c>
      <c r="AN12" s="1284">
        <v>2010</v>
      </c>
      <c r="AO12" s="1435">
        <f t="array" ref="AO12">1/SUMPRODUCT(IFERROR(1/V12:AA12,0),'Mkt Pen Veh-Mi'!B12:G12)</f>
        <v>5.926980775200688</v>
      </c>
      <c r="AP12" s="1436">
        <f t="array" ref="AP12">1/SUMPRODUCT(IFERROR(1/AB12:AG12,0),'Mkt Pen Veh-Mi'!H12:M12)</f>
        <v>5.4834889906932611</v>
      </c>
      <c r="AQ12" s="1440">
        <f t="array" ref="AQ12">1/SUMPRODUCT(IFERROR(1/AH12:AM12,0),'Mkt Pen Veh-Mi'!N12:S12)</f>
        <v>5.8642619111794092</v>
      </c>
      <c r="AR12" s="1433">
        <v>2010</v>
      </c>
      <c r="AS12" s="1435">
        <f t="shared" si="32"/>
        <v>1</v>
      </c>
      <c r="AT12" s="1436">
        <f t="shared" si="33"/>
        <v>1</v>
      </c>
      <c r="AU12" s="1436">
        <f t="shared" si="34"/>
        <v>1</v>
      </c>
      <c r="AV12" s="1440">
        <v>1</v>
      </c>
    </row>
    <row r="13" spans="1:48" s="1284" customFormat="1" ht="15" x14ac:dyDescent="0.25">
      <c r="A13" s="1299">
        <v>2011</v>
      </c>
      <c r="B13" s="1359">
        <f>IF('Mkt Pen Veh-Mi'!B13=0,1,1/((1-Fuel2ShrbyTech!B14)/'Inputs 7&amp;8 Sleep'!$N26+Fuel2ShrbyTech!B14/'Inputs 7&amp;8 Sleep'!$T26))</f>
        <v>6.0443538760928863</v>
      </c>
      <c r="C13" s="1360">
        <f>IF('Mkt Pen Veh-Mi'!C13=0,1,1/((1-Fuel2ShrbyTech!C14)/'Inputs 7&amp;8 Sleep'!$O26+Fuel2ShrbyTech!C14/'Inputs 7&amp;8 Sleep'!$U26))</f>
        <v>1</v>
      </c>
      <c r="D13" s="1360">
        <f>IF('Mkt Pen Veh-Mi'!D13=0,1,1/((1-Fuel2ShrbyTech!D14)/'Inputs 7&amp;8 Sleep'!$P26+Fuel2ShrbyTech!D14/'Inputs 7&amp;8 Sleep'!$V26))</f>
        <v>1</v>
      </c>
      <c r="E13" s="1360">
        <f>IF('Mkt Pen Veh-Mi'!E13=0,1,1/((1-Fuel2ShrbyTech!E14)/'Inputs 7&amp;8 Sleep'!$Q26+Fuel2ShrbyTech!E14/'Inputs 7&amp;8 Sleep'!$W26))</f>
        <v>1</v>
      </c>
      <c r="F13" s="1360">
        <f>IF('Mkt Pen Veh-Mi'!F13=0,1,1/((1-Fuel2ShrbyTech!F14)/'Inputs 7&amp;8 Sleep'!$R26+Fuel2ShrbyTech!F14/'Inputs 7&amp;8 Sleep'!$X26))</f>
        <v>1</v>
      </c>
      <c r="G13" s="1361">
        <f>IF('Mkt Pen Veh-Mi'!G13=0,1,1/((1-Fuel2ShrbyTech!G14)/'Inputs 7&amp;8 Sleep'!$S26+Fuel2ShrbyTech!G14/'Inputs 7&amp;8 Sleep'!$Y26))</f>
        <v>1</v>
      </c>
      <c r="H13" s="1359">
        <f>IF('Mkt Pen Veh-Mi'!H13=0,1,1/((1-Fuel2ShrbyTech!H14)/'Inputs 7&amp;8 Day'!$N26+Fuel2ShrbyTech!H14/'Inputs 7&amp;8 Day'!$T26))</f>
        <v>5.6013476577675876</v>
      </c>
      <c r="I13" s="1360">
        <f>IF('Mkt Pen Veh-Mi'!I13=0,1,1/((1-Fuel2ShrbyTech!I14)/'Inputs 7&amp;8 Day'!$O26+Fuel2ShrbyTech!I14/'Inputs 7&amp;8 Day'!$U26))</f>
        <v>1</v>
      </c>
      <c r="J13" s="1360">
        <f>IF('Mkt Pen Veh-Mi'!J13=0,1,1/((1-Fuel2ShrbyTech!J14)/'Inputs 7&amp;8 Day'!$P26+Fuel2ShrbyTech!J14/'Inputs 7&amp;8 Day'!$V26))</f>
        <v>1</v>
      </c>
      <c r="K13" s="1360">
        <f>IF('Mkt Pen Veh-Mi'!K13=0,1,1/((1-Fuel2ShrbyTech!K14)/'Inputs 7&amp;8 Day'!$Q26+Fuel2ShrbyTech!K14/'Inputs 7&amp;8 Day'!$W26))</f>
        <v>1</v>
      </c>
      <c r="L13" s="1360">
        <f>IF('Mkt Pen Veh-Mi'!L13=0,1,1/((1-Fuel2ShrbyTech!L14)/'Inputs 7&amp;8 Day'!$R26+Fuel2ShrbyTech!L14/'Inputs 7&amp;8 Day'!$X26))</f>
        <v>1</v>
      </c>
      <c r="M13" s="1361">
        <f>IF('Mkt Pen Veh-Mi'!M13=0,1,1/((1-Fuel2ShrbyTech!M14)/'Inputs 7&amp;8 Day'!$S26+Fuel2ShrbyTech!M14/'Inputs 7&amp;8 Day'!$Y26))</f>
        <v>1</v>
      </c>
      <c r="N13" s="1359">
        <f>IF('Mkt Pen Veh-Mi'!N13=0,1,1/((1-Fuel2ShrbyTech!N14)/'Inputs 7&amp;8 SU'!$N26+Fuel2ShrbyTech!N14/'Inputs 7&amp;8 SU'!$T26))</f>
        <v>5.9342472581274119</v>
      </c>
      <c r="O13" s="1360">
        <f>IF('Mkt Pen Veh-Mi'!O13=0,1,1/((1-Fuel2ShrbyTech!O14)/'Inputs 7&amp;8 SU'!$O26+Fuel2ShrbyTech!O14/'Inputs 7&amp;8 SU'!$U26))</f>
        <v>1</v>
      </c>
      <c r="P13" s="1360">
        <f>IF('Mkt Pen Veh-Mi'!P13=0,1,1/((1-Fuel2ShrbyTech!P14)/'Inputs 7&amp;8 SU'!$P26+Fuel2ShrbyTech!P14/'Inputs 7&amp;8 SU'!$V26))</f>
        <v>1</v>
      </c>
      <c r="Q13" s="1360">
        <f>IF('Mkt Pen Veh-Mi'!Q13=0,1,1/((1-Fuel2ShrbyTech!Q14)/'Inputs 7&amp;8 SU'!$Q26+Fuel2ShrbyTech!Q14/'Inputs 7&amp;8 SU'!$W26))</f>
        <v>1</v>
      </c>
      <c r="R13" s="1360">
        <f>IF('Mkt Pen Veh-Mi'!R13=0,1,1/((1-Fuel2ShrbyTech!R14)/'Inputs 7&amp;8 SU'!$R26+Fuel2ShrbyTech!R14/'Inputs 7&amp;8 SU'!$X26))</f>
        <v>1</v>
      </c>
      <c r="S13" s="1361">
        <f>IF('Mkt Pen Veh-Mi'!S13=0,1,1/((1-Fuel2ShrbyTech!S14)/'Inputs 7&amp;8 SU'!$S26+Fuel2ShrbyTech!S14/'Inputs 7&amp;8 SU'!$Y26))</f>
        <v>1</v>
      </c>
      <c r="U13" s="1299">
        <f t="shared" si="13"/>
        <v>2011</v>
      </c>
      <c r="V13" s="1359">
        <f t="shared" si="14"/>
        <v>6.0443538760928863</v>
      </c>
      <c r="W13" s="1360">
        <f t="shared" si="15"/>
        <v>0</v>
      </c>
      <c r="X13" s="1360">
        <f t="shared" si="16"/>
        <v>0</v>
      </c>
      <c r="Y13" s="1360">
        <f t="shared" si="17"/>
        <v>0</v>
      </c>
      <c r="Z13" s="1360">
        <f t="shared" si="18"/>
        <v>0</v>
      </c>
      <c r="AA13" s="1361">
        <f t="shared" si="19"/>
        <v>0</v>
      </c>
      <c r="AB13" s="1359">
        <f t="shared" si="20"/>
        <v>5.6013476577675876</v>
      </c>
      <c r="AC13" s="1360">
        <f t="shared" si="21"/>
        <v>0</v>
      </c>
      <c r="AD13" s="1360">
        <f t="shared" si="22"/>
        <v>0</v>
      </c>
      <c r="AE13" s="1360">
        <f t="shared" si="23"/>
        <v>0</v>
      </c>
      <c r="AF13" s="1360">
        <f t="shared" si="24"/>
        <v>0</v>
      </c>
      <c r="AG13" s="1361">
        <f t="shared" si="25"/>
        <v>0</v>
      </c>
      <c r="AH13" s="1359">
        <f t="shared" si="26"/>
        <v>5.9342472581274119</v>
      </c>
      <c r="AI13" s="1360">
        <f t="shared" si="27"/>
        <v>0</v>
      </c>
      <c r="AJ13" s="1360">
        <f t="shared" si="28"/>
        <v>0</v>
      </c>
      <c r="AK13" s="1360">
        <f t="shared" si="29"/>
        <v>0</v>
      </c>
      <c r="AL13" s="1360">
        <f t="shared" si="30"/>
        <v>0</v>
      </c>
      <c r="AM13" s="1361">
        <f t="shared" si="31"/>
        <v>0</v>
      </c>
      <c r="AN13" s="1284">
        <v>2011</v>
      </c>
      <c r="AO13" s="1435">
        <f t="array" ref="AO13">1/SUMPRODUCT(IFERROR(1/V13:AA13,0),'Mkt Pen Veh-Mi'!B13:G13)</f>
        <v>6.0443538760928863</v>
      </c>
      <c r="AP13" s="1436">
        <f t="array" ref="AP13">1/SUMPRODUCT(IFERROR(1/AB13:AG13,0),'Mkt Pen Veh-Mi'!H13:M13)</f>
        <v>5.6013476577675876</v>
      </c>
      <c r="AQ13" s="1440">
        <f t="array" ref="AQ13">1/SUMPRODUCT(IFERROR(1/AH13:AM13,0),'Mkt Pen Veh-Mi'!N13:S13)</f>
        <v>5.9342472581274119</v>
      </c>
      <c r="AR13" s="1433">
        <v>2011</v>
      </c>
      <c r="AS13" s="1435">
        <f t="shared" si="32"/>
        <v>1</v>
      </c>
      <c r="AT13" s="1436">
        <f t="shared" si="33"/>
        <v>1</v>
      </c>
      <c r="AU13" s="1436">
        <f t="shared" si="34"/>
        <v>1</v>
      </c>
      <c r="AV13" s="1440">
        <v>1</v>
      </c>
    </row>
    <row r="14" spans="1:48" s="1284" customFormat="1" ht="15" x14ac:dyDescent="0.25">
      <c r="A14" s="1299">
        <v>2012</v>
      </c>
      <c r="B14" s="1353">
        <f>IF('Mkt Pen Veh-Mi'!B14=0,1,1/((1-Fuel2ShrbyTech!B15)/'Inputs 7&amp;8 Sleep'!$N27+Fuel2ShrbyTech!B15/'Inputs 7&amp;8 Sleep'!$T27))</f>
        <v>6.0926290216893007</v>
      </c>
      <c r="C14" s="1354">
        <f>IF('Mkt Pen Veh-Mi'!C14=0,1,1/((1-Fuel2ShrbyTech!C15)/'Inputs 7&amp;8 Sleep'!$O27+Fuel2ShrbyTech!C15/'Inputs 7&amp;8 Sleep'!$U27))</f>
        <v>1</v>
      </c>
      <c r="D14" s="1354">
        <f>IF('Mkt Pen Veh-Mi'!D14=0,1,1/((1-Fuel2ShrbyTech!D15)/'Inputs 7&amp;8 Sleep'!$P27+Fuel2ShrbyTech!D15/'Inputs 7&amp;8 Sleep'!$V27))</f>
        <v>1</v>
      </c>
      <c r="E14" s="1354">
        <f>IF('Mkt Pen Veh-Mi'!E14=0,1,1/((1-Fuel2ShrbyTech!E15)/'Inputs 7&amp;8 Sleep'!$Q27+Fuel2ShrbyTech!E15/'Inputs 7&amp;8 Sleep'!$W27))</f>
        <v>1</v>
      </c>
      <c r="F14" s="1354">
        <f>IF('Mkt Pen Veh-Mi'!F14=0,1,1/((1-Fuel2ShrbyTech!F15)/'Inputs 7&amp;8 Sleep'!$R27+Fuel2ShrbyTech!F15/'Inputs 7&amp;8 Sleep'!$X27))</f>
        <v>1</v>
      </c>
      <c r="G14" s="1355">
        <f>IF('Mkt Pen Veh-Mi'!G14=0,1,1/((1-Fuel2ShrbyTech!G15)/'Inputs 7&amp;8 Sleep'!$S27+Fuel2ShrbyTech!G15/'Inputs 7&amp;8 Sleep'!$Y27))</f>
        <v>1</v>
      </c>
      <c r="H14" s="1353">
        <f>IF('Mkt Pen Veh-Mi'!H14=0,1,1/((1-Fuel2ShrbyTech!H15)/'Inputs 7&amp;8 Day'!$N27+Fuel2ShrbyTech!H15/'Inputs 7&amp;8 Day'!$T27))</f>
        <v>5.6461863528933494</v>
      </c>
      <c r="I14" s="1354">
        <f>IF('Mkt Pen Veh-Mi'!I14=0,1,1/((1-Fuel2ShrbyTech!I15)/'Inputs 7&amp;8 Day'!$O27+Fuel2ShrbyTech!I15/'Inputs 7&amp;8 Day'!$U27))</f>
        <v>1</v>
      </c>
      <c r="J14" s="1354">
        <f>IF('Mkt Pen Veh-Mi'!J14=0,1,1/((1-Fuel2ShrbyTech!J15)/'Inputs 7&amp;8 Day'!$P27+Fuel2ShrbyTech!J15/'Inputs 7&amp;8 Day'!$V27))</f>
        <v>1</v>
      </c>
      <c r="K14" s="1354">
        <f>IF('Mkt Pen Veh-Mi'!K14=0,1,1/((1-Fuel2ShrbyTech!K15)/'Inputs 7&amp;8 Day'!$Q27+Fuel2ShrbyTech!K15/'Inputs 7&amp;8 Day'!$W27))</f>
        <v>1</v>
      </c>
      <c r="L14" s="1354">
        <f>IF('Mkt Pen Veh-Mi'!L14=0,1,1/((1-Fuel2ShrbyTech!L15)/'Inputs 7&amp;8 Day'!$R27+Fuel2ShrbyTech!L15/'Inputs 7&amp;8 Day'!$X27))</f>
        <v>1</v>
      </c>
      <c r="M14" s="1355">
        <f>IF('Mkt Pen Veh-Mi'!M14=0,1,1/((1-Fuel2ShrbyTech!M15)/'Inputs 7&amp;8 Day'!$S27+Fuel2ShrbyTech!M15/'Inputs 7&amp;8 Day'!$Y27))</f>
        <v>1</v>
      </c>
      <c r="N14" s="1353">
        <f>IF('Mkt Pen Veh-Mi'!N14=0,1,1/((1-Fuel2ShrbyTech!N15)/'Inputs 7&amp;8 SU'!$N27+Fuel2ShrbyTech!N15/'Inputs 7&amp;8 SU'!$T27))</f>
        <v>5.9677668403327733</v>
      </c>
      <c r="O14" s="1354">
        <f>IF('Mkt Pen Veh-Mi'!O14=0,1,1/((1-Fuel2ShrbyTech!O15)/'Inputs 7&amp;8 SU'!$O27+Fuel2ShrbyTech!O15/'Inputs 7&amp;8 SU'!$U27))</f>
        <v>1</v>
      </c>
      <c r="P14" s="1354">
        <f>IF('Mkt Pen Veh-Mi'!P14=0,1,1/((1-Fuel2ShrbyTech!P15)/'Inputs 7&amp;8 SU'!$P27+Fuel2ShrbyTech!P15/'Inputs 7&amp;8 SU'!$V27))</f>
        <v>1</v>
      </c>
      <c r="Q14" s="1354">
        <f>IF('Mkt Pen Veh-Mi'!Q14=0,1,1/((1-Fuel2ShrbyTech!Q15)/'Inputs 7&amp;8 SU'!$Q27+Fuel2ShrbyTech!Q15/'Inputs 7&amp;8 SU'!$W27))</f>
        <v>1</v>
      </c>
      <c r="R14" s="1354">
        <f>IF('Mkt Pen Veh-Mi'!R14=0,1,1/((1-Fuel2ShrbyTech!R15)/'Inputs 7&amp;8 SU'!$R27+Fuel2ShrbyTech!R15/'Inputs 7&amp;8 SU'!$X27))</f>
        <v>1</v>
      </c>
      <c r="S14" s="1355">
        <f>IF('Mkt Pen Veh-Mi'!S14=0,1,1/((1-Fuel2ShrbyTech!S15)/'Inputs 7&amp;8 SU'!$S27+Fuel2ShrbyTech!S15/'Inputs 7&amp;8 SU'!$Y27))</f>
        <v>1</v>
      </c>
      <c r="U14" s="1299">
        <f t="shared" si="13"/>
        <v>2012</v>
      </c>
      <c r="V14" s="1353">
        <f t="shared" si="14"/>
        <v>6.0926290216893007</v>
      </c>
      <c r="W14" s="1354">
        <f t="shared" si="15"/>
        <v>0</v>
      </c>
      <c r="X14" s="1354">
        <f t="shared" si="16"/>
        <v>0</v>
      </c>
      <c r="Y14" s="1354">
        <f t="shared" si="17"/>
        <v>0</v>
      </c>
      <c r="Z14" s="1354">
        <f t="shared" si="18"/>
        <v>0</v>
      </c>
      <c r="AA14" s="1355">
        <f t="shared" si="19"/>
        <v>0</v>
      </c>
      <c r="AB14" s="1353">
        <f t="shared" si="20"/>
        <v>5.6461863528933494</v>
      </c>
      <c r="AC14" s="1354">
        <f t="shared" si="21"/>
        <v>0</v>
      </c>
      <c r="AD14" s="1354">
        <f t="shared" si="22"/>
        <v>0</v>
      </c>
      <c r="AE14" s="1354">
        <f t="shared" si="23"/>
        <v>0</v>
      </c>
      <c r="AF14" s="1354">
        <f t="shared" si="24"/>
        <v>0</v>
      </c>
      <c r="AG14" s="1355">
        <f t="shared" si="25"/>
        <v>0</v>
      </c>
      <c r="AH14" s="1353">
        <f t="shared" si="26"/>
        <v>5.9677668403327733</v>
      </c>
      <c r="AI14" s="1354">
        <f t="shared" si="27"/>
        <v>0</v>
      </c>
      <c r="AJ14" s="1354">
        <f t="shared" si="28"/>
        <v>0</v>
      </c>
      <c r="AK14" s="1354">
        <f t="shared" si="29"/>
        <v>0</v>
      </c>
      <c r="AL14" s="1354">
        <f t="shared" si="30"/>
        <v>0</v>
      </c>
      <c r="AM14" s="1355">
        <f t="shared" si="31"/>
        <v>0</v>
      </c>
      <c r="AN14" s="1284">
        <v>2012</v>
      </c>
      <c r="AO14" s="1435">
        <f t="array" ref="AO14">1/SUMPRODUCT(IFERROR(1/V14:AA14,0),'Mkt Pen Veh-Mi'!B14:G14)</f>
        <v>6.0926290216893007</v>
      </c>
      <c r="AP14" s="1436">
        <f t="array" ref="AP14">1/SUMPRODUCT(IFERROR(1/AB14:AG14,0),'Mkt Pen Veh-Mi'!H14:M14)</f>
        <v>5.6461863528933494</v>
      </c>
      <c r="AQ14" s="1440">
        <f t="array" ref="AQ14">1/SUMPRODUCT(IFERROR(1/AH14:AM14,0),'Mkt Pen Veh-Mi'!N14:S14)</f>
        <v>5.9677668403327733</v>
      </c>
      <c r="AR14" s="1433">
        <v>2012</v>
      </c>
      <c r="AS14" s="1435">
        <f t="shared" si="32"/>
        <v>1</v>
      </c>
      <c r="AT14" s="1436">
        <f t="shared" si="33"/>
        <v>1</v>
      </c>
      <c r="AU14" s="1436">
        <f t="shared" si="34"/>
        <v>1</v>
      </c>
      <c r="AV14" s="1440">
        <v>1</v>
      </c>
    </row>
    <row r="15" spans="1:48" s="1284" customFormat="1" ht="15" x14ac:dyDescent="0.25">
      <c r="A15" s="1299">
        <v>2013</v>
      </c>
      <c r="B15" s="1353">
        <f>IF('Mkt Pen Veh-Mi'!B15=0,1,1/((1-Fuel2ShrbyTech!B16)/'Inputs 7&amp;8 Sleep'!$N28+Fuel2ShrbyTech!B16/'Inputs 7&amp;8 Sleep'!$T28))</f>
        <v>6.2083423993781972</v>
      </c>
      <c r="C15" s="1354">
        <f>IF('Mkt Pen Veh-Mi'!C15=0,1,1/((1-Fuel2ShrbyTech!C16)/'Inputs 7&amp;8 Sleep'!$O28+Fuel2ShrbyTech!C16/'Inputs 7&amp;8 Sleep'!$U28))</f>
        <v>1</v>
      </c>
      <c r="D15" s="1354">
        <f>IF('Mkt Pen Veh-Mi'!D15=0,1,1/((1-Fuel2ShrbyTech!D16)/'Inputs 7&amp;8 Sleep'!$P28+Fuel2ShrbyTech!D16/'Inputs 7&amp;8 Sleep'!$V28))</f>
        <v>1</v>
      </c>
      <c r="E15" s="1354">
        <f>IF('Mkt Pen Veh-Mi'!E15=0,1,1/((1-Fuel2ShrbyTech!E16)/'Inputs 7&amp;8 Sleep'!$Q28+Fuel2ShrbyTech!E16/'Inputs 7&amp;8 Sleep'!$W28))</f>
        <v>1</v>
      </c>
      <c r="F15" s="1354">
        <f>IF('Mkt Pen Veh-Mi'!F15=0,1,1/((1-Fuel2ShrbyTech!F16)/'Inputs 7&amp;8 Sleep'!$R28+Fuel2ShrbyTech!F16/'Inputs 7&amp;8 Sleep'!$X28))</f>
        <v>1</v>
      </c>
      <c r="G15" s="1355">
        <f>IF('Mkt Pen Veh-Mi'!G15=0,1,1/((1-Fuel2ShrbyTech!G16)/'Inputs 7&amp;8 Sleep'!$S28+Fuel2ShrbyTech!G16/'Inputs 7&amp;8 Sleep'!$Y28))</f>
        <v>1</v>
      </c>
      <c r="H15" s="1353">
        <f>IF('Mkt Pen Veh-Mi'!H15=0,1,1/((1-Fuel2ShrbyTech!H16)/'Inputs 7&amp;8 Day'!$N28+Fuel2ShrbyTech!H16/'Inputs 7&amp;8 Day'!$T28))</f>
        <v>5.7385417874959348</v>
      </c>
      <c r="I15" s="1354">
        <f>IF('Mkt Pen Veh-Mi'!I15=0,1,1/((1-Fuel2ShrbyTech!I16)/'Inputs 7&amp;8 Day'!$O28+Fuel2ShrbyTech!I16/'Inputs 7&amp;8 Day'!$U28))</f>
        <v>1</v>
      </c>
      <c r="J15" s="1354">
        <f>IF('Mkt Pen Veh-Mi'!J15=0,1,1/((1-Fuel2ShrbyTech!J16)/'Inputs 7&amp;8 Day'!$P28+Fuel2ShrbyTech!J16/'Inputs 7&amp;8 Day'!$V28))</f>
        <v>1</v>
      </c>
      <c r="K15" s="1354">
        <f>IF('Mkt Pen Veh-Mi'!K15=0,1,1/((1-Fuel2ShrbyTech!K16)/'Inputs 7&amp;8 Day'!$Q28+Fuel2ShrbyTech!K16/'Inputs 7&amp;8 Day'!$W28))</f>
        <v>1</v>
      </c>
      <c r="L15" s="1354">
        <f>IF('Mkt Pen Veh-Mi'!L15=0,1,1/((1-Fuel2ShrbyTech!L16)/'Inputs 7&amp;8 Day'!$R28+Fuel2ShrbyTech!L16/'Inputs 7&amp;8 Day'!$X28))</f>
        <v>1</v>
      </c>
      <c r="M15" s="1355">
        <f>IF('Mkt Pen Veh-Mi'!M15=0,1,1/((1-Fuel2ShrbyTech!M16)/'Inputs 7&amp;8 Day'!$S28+Fuel2ShrbyTech!M16/'Inputs 7&amp;8 Day'!$Y28))</f>
        <v>1</v>
      </c>
      <c r="N15" s="1353">
        <f>IF('Mkt Pen Veh-Mi'!N15=0,1,1/((1-Fuel2ShrbyTech!N16)/'Inputs 7&amp;8 SU'!$N28+Fuel2ShrbyTech!N16/'Inputs 7&amp;8 SU'!$T28))</f>
        <v>6.0175065421771956</v>
      </c>
      <c r="O15" s="1354">
        <f>IF('Mkt Pen Veh-Mi'!O15=0,1,1/((1-Fuel2ShrbyTech!O16)/'Inputs 7&amp;8 SU'!$O28+Fuel2ShrbyTech!O16/'Inputs 7&amp;8 SU'!$U28))</f>
        <v>1</v>
      </c>
      <c r="P15" s="1354">
        <f>IF('Mkt Pen Veh-Mi'!P15=0,1,1/((1-Fuel2ShrbyTech!P16)/'Inputs 7&amp;8 SU'!$P28+Fuel2ShrbyTech!P16/'Inputs 7&amp;8 SU'!$V28))</f>
        <v>1</v>
      </c>
      <c r="Q15" s="1354">
        <f>IF('Mkt Pen Veh-Mi'!Q15=0,1,1/((1-Fuel2ShrbyTech!Q16)/'Inputs 7&amp;8 SU'!$Q28+Fuel2ShrbyTech!Q16/'Inputs 7&amp;8 SU'!$W28))</f>
        <v>1</v>
      </c>
      <c r="R15" s="1354">
        <f>IF('Mkt Pen Veh-Mi'!R15=0,1,1/((1-Fuel2ShrbyTech!R16)/'Inputs 7&amp;8 SU'!$R28+Fuel2ShrbyTech!R16/'Inputs 7&amp;8 SU'!$X28))</f>
        <v>1</v>
      </c>
      <c r="S15" s="1355">
        <f>IF('Mkt Pen Veh-Mi'!S15=0,1,1/((1-Fuel2ShrbyTech!S16)/'Inputs 7&amp;8 SU'!$S28+Fuel2ShrbyTech!S16/'Inputs 7&amp;8 SU'!$Y28))</f>
        <v>1</v>
      </c>
      <c r="U15" s="1299">
        <f t="shared" si="13"/>
        <v>2013</v>
      </c>
      <c r="V15" s="1353">
        <f t="shared" si="14"/>
        <v>6.2083423993781972</v>
      </c>
      <c r="W15" s="1354">
        <f t="shared" si="15"/>
        <v>0</v>
      </c>
      <c r="X15" s="1354">
        <f t="shared" si="16"/>
        <v>0</v>
      </c>
      <c r="Y15" s="1354">
        <f t="shared" si="17"/>
        <v>0</v>
      </c>
      <c r="Z15" s="1354">
        <f t="shared" si="18"/>
        <v>0</v>
      </c>
      <c r="AA15" s="1355">
        <f t="shared" si="19"/>
        <v>0</v>
      </c>
      <c r="AB15" s="1353">
        <f t="shared" si="20"/>
        <v>5.7385417874959348</v>
      </c>
      <c r="AC15" s="1354">
        <f t="shared" si="21"/>
        <v>0</v>
      </c>
      <c r="AD15" s="1354">
        <f t="shared" si="22"/>
        <v>0</v>
      </c>
      <c r="AE15" s="1354">
        <f t="shared" si="23"/>
        <v>0</v>
      </c>
      <c r="AF15" s="1354">
        <f t="shared" si="24"/>
        <v>0</v>
      </c>
      <c r="AG15" s="1355">
        <f t="shared" si="25"/>
        <v>0</v>
      </c>
      <c r="AH15" s="1353">
        <f t="shared" si="26"/>
        <v>6.0175065421771956</v>
      </c>
      <c r="AI15" s="1354">
        <f t="shared" si="27"/>
        <v>0</v>
      </c>
      <c r="AJ15" s="1354">
        <f t="shared" si="28"/>
        <v>0</v>
      </c>
      <c r="AK15" s="1354">
        <f t="shared" si="29"/>
        <v>0</v>
      </c>
      <c r="AL15" s="1354">
        <f t="shared" si="30"/>
        <v>0</v>
      </c>
      <c r="AM15" s="1355">
        <f t="shared" si="31"/>
        <v>0</v>
      </c>
      <c r="AN15" s="1284">
        <v>2013</v>
      </c>
      <c r="AO15" s="1435">
        <f t="array" ref="AO15">1/SUMPRODUCT(IFERROR(1/V15:AA15,0),'Mkt Pen Veh-Mi'!B15:G15)</f>
        <v>6.2083423993781972</v>
      </c>
      <c r="AP15" s="1436">
        <f t="array" ref="AP15">1/SUMPRODUCT(IFERROR(1/AB15:AG15,0),'Mkt Pen Veh-Mi'!H15:M15)</f>
        <v>5.7385417874959348</v>
      </c>
      <c r="AQ15" s="1440">
        <f t="array" ref="AQ15">1/SUMPRODUCT(IFERROR(1/AH15:AM15,0),'Mkt Pen Veh-Mi'!N15:S15)</f>
        <v>6.0175065421771956</v>
      </c>
      <c r="AR15" s="1433">
        <v>2013</v>
      </c>
      <c r="AS15" s="1435">
        <f t="shared" si="32"/>
        <v>1</v>
      </c>
      <c r="AT15" s="1436">
        <f t="shared" si="33"/>
        <v>1</v>
      </c>
      <c r="AU15" s="1436">
        <f t="shared" si="34"/>
        <v>1</v>
      </c>
      <c r="AV15" s="1440">
        <v>1</v>
      </c>
    </row>
    <row r="16" spans="1:48" s="1284" customFormat="1" ht="15" x14ac:dyDescent="0.25">
      <c r="A16" s="1299">
        <v>2014</v>
      </c>
      <c r="B16" s="1353">
        <f>IF('Mkt Pen Veh-Mi'!B16=0,1,1/((1-Fuel2ShrbyTech!B17)/'Inputs 7&amp;8 Sleep'!$N29+Fuel2ShrbyTech!B17/'Inputs 7&amp;8 Sleep'!$T29))</f>
        <v>6.3524463187571243</v>
      </c>
      <c r="C16" s="1354">
        <f>IF('Mkt Pen Veh-Mi'!C16=0,1,1/((1-Fuel2ShrbyTech!C17)/'Inputs 7&amp;8 Sleep'!$O29+Fuel2ShrbyTech!C17/'Inputs 7&amp;8 Sleep'!$U29))</f>
        <v>1</v>
      </c>
      <c r="D16" s="1354">
        <f>IF('Mkt Pen Veh-Mi'!D16=0,1,1/((1-Fuel2ShrbyTech!D17)/'Inputs 7&amp;8 Sleep'!$P29+Fuel2ShrbyTech!D17/'Inputs 7&amp;8 Sleep'!$V29))</f>
        <v>1</v>
      </c>
      <c r="E16" s="1354">
        <f>IF('Mkt Pen Veh-Mi'!E16=0,1,1/((1-Fuel2ShrbyTech!E17)/'Inputs 7&amp;8 Sleep'!$Q29+Fuel2ShrbyTech!E17/'Inputs 7&amp;8 Sleep'!$W29))</f>
        <v>1</v>
      </c>
      <c r="F16" s="1354">
        <f>IF('Mkt Pen Veh-Mi'!F16=0,1,1/((1-Fuel2ShrbyTech!F17)/'Inputs 7&amp;8 Sleep'!$R29+Fuel2ShrbyTech!F17/'Inputs 7&amp;8 Sleep'!$X29))</f>
        <v>1</v>
      </c>
      <c r="G16" s="1355">
        <f>IF('Mkt Pen Veh-Mi'!G16=0,1,1/((1-Fuel2ShrbyTech!G17)/'Inputs 7&amp;8 Sleep'!$S29+Fuel2ShrbyTech!G17/'Inputs 7&amp;8 Sleep'!$Y29))</f>
        <v>1</v>
      </c>
      <c r="H16" s="1353">
        <f>IF('Mkt Pen Veh-Mi'!H16=0,1,1/((1-Fuel2ShrbyTech!H17)/'Inputs 7&amp;8 Day'!$N29+Fuel2ShrbyTech!H17/'Inputs 7&amp;8 Day'!$T29))</f>
        <v>5.8304231530010329</v>
      </c>
      <c r="I16" s="1354">
        <f>IF('Mkt Pen Veh-Mi'!I16=0,1,1/((1-Fuel2ShrbyTech!I17)/'Inputs 7&amp;8 Day'!$O29+Fuel2ShrbyTech!I17/'Inputs 7&amp;8 Day'!$U29))</f>
        <v>1</v>
      </c>
      <c r="J16" s="1354">
        <f>IF('Mkt Pen Veh-Mi'!J16=0,1,1/((1-Fuel2ShrbyTech!J17)/'Inputs 7&amp;8 Day'!$P29+Fuel2ShrbyTech!J17/'Inputs 7&amp;8 Day'!$V29))</f>
        <v>1</v>
      </c>
      <c r="K16" s="1354">
        <f>IF('Mkt Pen Veh-Mi'!K16=0,1,1/((1-Fuel2ShrbyTech!K17)/'Inputs 7&amp;8 Day'!$Q29+Fuel2ShrbyTech!K17/'Inputs 7&amp;8 Day'!$W29))</f>
        <v>1</v>
      </c>
      <c r="L16" s="1354">
        <f>IF('Mkt Pen Veh-Mi'!L16=0,1,1/((1-Fuel2ShrbyTech!L17)/'Inputs 7&amp;8 Day'!$R29+Fuel2ShrbyTech!L17/'Inputs 7&amp;8 Day'!$X29))</f>
        <v>1</v>
      </c>
      <c r="M16" s="1355">
        <f>IF('Mkt Pen Veh-Mi'!M16=0,1,1/((1-Fuel2ShrbyTech!M17)/'Inputs 7&amp;8 Day'!$S29+Fuel2ShrbyTech!M17/'Inputs 7&amp;8 Day'!$Y29))</f>
        <v>1</v>
      </c>
      <c r="N16" s="1353">
        <f>IF('Mkt Pen Veh-Mi'!N16=0,1,1/((1-Fuel2ShrbyTech!N17)/'Inputs 7&amp;8 SU'!$N29+Fuel2ShrbyTech!N17/'Inputs 7&amp;8 SU'!$T29))</f>
        <v>6.0817779387217827</v>
      </c>
      <c r="O16" s="1354">
        <f>IF('Mkt Pen Veh-Mi'!O16=0,1,1/((1-Fuel2ShrbyTech!O17)/'Inputs 7&amp;8 SU'!$O29+Fuel2ShrbyTech!O17/'Inputs 7&amp;8 SU'!$U29))</f>
        <v>1</v>
      </c>
      <c r="P16" s="1354">
        <f>IF('Mkt Pen Veh-Mi'!P16=0,1,1/((1-Fuel2ShrbyTech!P17)/'Inputs 7&amp;8 SU'!$P29+Fuel2ShrbyTech!P17/'Inputs 7&amp;8 SU'!$V29))</f>
        <v>1</v>
      </c>
      <c r="Q16" s="1354">
        <f>IF('Mkt Pen Veh-Mi'!Q16=0,1,1/((1-Fuel2ShrbyTech!Q17)/'Inputs 7&amp;8 SU'!$Q29+Fuel2ShrbyTech!Q17/'Inputs 7&amp;8 SU'!$W29))</f>
        <v>1</v>
      </c>
      <c r="R16" s="1354">
        <f>IF('Mkt Pen Veh-Mi'!R16=0,1,1/((1-Fuel2ShrbyTech!R17)/'Inputs 7&amp;8 SU'!$R29+Fuel2ShrbyTech!R17/'Inputs 7&amp;8 SU'!$X29))</f>
        <v>1</v>
      </c>
      <c r="S16" s="1355">
        <f>IF('Mkt Pen Veh-Mi'!S16=0,1,1/((1-Fuel2ShrbyTech!S17)/'Inputs 7&amp;8 SU'!$S29+Fuel2ShrbyTech!S17/'Inputs 7&amp;8 SU'!$Y29))</f>
        <v>1</v>
      </c>
      <c r="U16" s="1299">
        <f t="shared" si="13"/>
        <v>2014</v>
      </c>
      <c r="V16" s="1353">
        <f t="shared" si="14"/>
        <v>6.3524463187571243</v>
      </c>
      <c r="W16" s="1354">
        <f t="shared" si="15"/>
        <v>0</v>
      </c>
      <c r="X16" s="1354">
        <f t="shared" si="16"/>
        <v>0</v>
      </c>
      <c r="Y16" s="1354">
        <f t="shared" si="17"/>
        <v>0</v>
      </c>
      <c r="Z16" s="1354">
        <f t="shared" si="18"/>
        <v>0</v>
      </c>
      <c r="AA16" s="1355">
        <f t="shared" si="19"/>
        <v>0</v>
      </c>
      <c r="AB16" s="1353">
        <f t="shared" si="20"/>
        <v>5.8304231530010329</v>
      </c>
      <c r="AC16" s="1354">
        <f t="shared" si="21"/>
        <v>0</v>
      </c>
      <c r="AD16" s="1354">
        <f t="shared" si="22"/>
        <v>0</v>
      </c>
      <c r="AE16" s="1354">
        <f t="shared" si="23"/>
        <v>0</v>
      </c>
      <c r="AF16" s="1354">
        <f t="shared" si="24"/>
        <v>0</v>
      </c>
      <c r="AG16" s="1355">
        <f t="shared" si="25"/>
        <v>0</v>
      </c>
      <c r="AH16" s="1353">
        <f t="shared" si="26"/>
        <v>6.0817779387217827</v>
      </c>
      <c r="AI16" s="1354">
        <f t="shared" si="27"/>
        <v>0</v>
      </c>
      <c r="AJ16" s="1354">
        <f t="shared" si="28"/>
        <v>0</v>
      </c>
      <c r="AK16" s="1354">
        <f t="shared" si="29"/>
        <v>0</v>
      </c>
      <c r="AL16" s="1354">
        <f t="shared" si="30"/>
        <v>0</v>
      </c>
      <c r="AM16" s="1355">
        <f t="shared" si="31"/>
        <v>0</v>
      </c>
      <c r="AN16" s="1284">
        <v>2014</v>
      </c>
      <c r="AO16" s="1435">
        <f t="array" ref="AO16">1/SUMPRODUCT(IFERROR(1/V16:AA16,0),'Mkt Pen Veh-Mi'!B16:G16)</f>
        <v>6.3524463187571243</v>
      </c>
      <c r="AP16" s="1436">
        <f t="array" ref="AP16">1/SUMPRODUCT(IFERROR(1/AB16:AG16,0),'Mkt Pen Veh-Mi'!H16:M16)</f>
        <v>5.8304231530010329</v>
      </c>
      <c r="AQ16" s="1440">
        <f t="array" ref="AQ16">1/SUMPRODUCT(IFERROR(1/AH16:AM16,0),'Mkt Pen Veh-Mi'!N16:S16)</f>
        <v>6.0817779387217827</v>
      </c>
      <c r="AR16" s="1433">
        <v>2014</v>
      </c>
      <c r="AS16" s="1435">
        <f t="shared" si="32"/>
        <v>1</v>
      </c>
      <c r="AT16" s="1436">
        <f t="shared" si="33"/>
        <v>1</v>
      </c>
      <c r="AU16" s="1436">
        <f t="shared" si="34"/>
        <v>1</v>
      </c>
      <c r="AV16" s="1440">
        <v>1</v>
      </c>
    </row>
    <row r="17" spans="1:48" s="1284" customFormat="1" ht="15" x14ac:dyDescent="0.25">
      <c r="A17" s="1305">
        <v>2015</v>
      </c>
      <c r="B17" s="1356">
        <f>IF('Mkt Pen Veh-Mi'!B17=0,1,1/((1-Fuel2ShrbyTech!B18)/'Inputs 7&amp;8 Sleep'!$N30+Fuel2ShrbyTech!B18/'Inputs 7&amp;8 Sleep'!$T30))</f>
        <v>6.5640435235508923</v>
      </c>
      <c r="C17" s="1357">
        <f>IF('Mkt Pen Veh-Mi'!C17=0,1,1/((1-Fuel2ShrbyTech!C18)/'Inputs 7&amp;8 Sleep'!$O30+Fuel2ShrbyTech!C18/'Inputs 7&amp;8 Sleep'!$U30))</f>
        <v>1</v>
      </c>
      <c r="D17" s="1357">
        <f>IF('Mkt Pen Veh-Mi'!D17=0,1,1/((1-Fuel2ShrbyTech!D18)/'Inputs 7&amp;8 Sleep'!$P30+Fuel2ShrbyTech!D18/'Inputs 7&amp;8 Sleep'!$V30))</f>
        <v>1</v>
      </c>
      <c r="E17" s="1357">
        <f>IF('Mkt Pen Veh-Mi'!E17=0,1,1/((1-Fuel2ShrbyTech!E18)/'Inputs 7&amp;8 Sleep'!$Q30+Fuel2ShrbyTech!E18/'Inputs 7&amp;8 Sleep'!$W30))</f>
        <v>1</v>
      </c>
      <c r="F17" s="1357">
        <f>IF('Mkt Pen Veh-Mi'!F17=0,1,1/((1-Fuel2ShrbyTech!F18)/'Inputs 7&amp;8 Sleep'!$R30+Fuel2ShrbyTech!F18/'Inputs 7&amp;8 Sleep'!$X30))</f>
        <v>1</v>
      </c>
      <c r="G17" s="1358">
        <f>IF('Mkt Pen Veh-Mi'!G17=0,1,1/((1-Fuel2ShrbyTech!G18)/'Inputs 7&amp;8 Sleep'!$S30+Fuel2ShrbyTech!G18/'Inputs 7&amp;8 Sleep'!$Y30))</f>
        <v>1</v>
      </c>
      <c r="H17" s="1356">
        <f>IF('Mkt Pen Veh-Mi'!H17=0,1,1/((1-Fuel2ShrbyTech!H18)/'Inputs 7&amp;8 Day'!$N30+Fuel2ShrbyTech!H18/'Inputs 7&amp;8 Day'!$T30))</f>
        <v>5.9816607409404146</v>
      </c>
      <c r="I17" s="1357">
        <f>IF('Mkt Pen Veh-Mi'!I17=0,1,1/((1-Fuel2ShrbyTech!I18)/'Inputs 7&amp;8 Day'!$O30+Fuel2ShrbyTech!I18/'Inputs 7&amp;8 Day'!$U30))</f>
        <v>1</v>
      </c>
      <c r="J17" s="1357">
        <f>IF('Mkt Pen Veh-Mi'!J17=0,1,1/((1-Fuel2ShrbyTech!J18)/'Inputs 7&amp;8 Day'!$P30+Fuel2ShrbyTech!J18/'Inputs 7&amp;8 Day'!$V30))</f>
        <v>1</v>
      </c>
      <c r="K17" s="1357">
        <f>IF('Mkt Pen Veh-Mi'!K17=0,1,1/((1-Fuel2ShrbyTech!K18)/'Inputs 7&amp;8 Day'!$Q30+Fuel2ShrbyTech!K18/'Inputs 7&amp;8 Day'!$W30))</f>
        <v>1</v>
      </c>
      <c r="L17" s="1357">
        <f>IF('Mkt Pen Veh-Mi'!L17=0,1,1/((1-Fuel2ShrbyTech!L18)/'Inputs 7&amp;8 Day'!$R30+Fuel2ShrbyTech!L18/'Inputs 7&amp;8 Day'!$X30))</f>
        <v>1</v>
      </c>
      <c r="M17" s="1358">
        <f>IF('Mkt Pen Veh-Mi'!M17=0,1,1/((1-Fuel2ShrbyTech!M18)/'Inputs 7&amp;8 Day'!$S30+Fuel2ShrbyTech!M18/'Inputs 7&amp;8 Day'!$Y30))</f>
        <v>1</v>
      </c>
      <c r="N17" s="1356">
        <f>IF('Mkt Pen Veh-Mi'!N17=0,1,1/((1-Fuel2ShrbyTech!N18)/'Inputs 7&amp;8 SU'!$N30+Fuel2ShrbyTech!N18/'Inputs 7&amp;8 SU'!$T30))</f>
        <v>6.1572807220146535</v>
      </c>
      <c r="O17" s="1357">
        <f>IF('Mkt Pen Veh-Mi'!O17=0,1,1/((1-Fuel2ShrbyTech!O18)/'Inputs 7&amp;8 SU'!$O30+Fuel2ShrbyTech!O18/'Inputs 7&amp;8 SU'!$U30))</f>
        <v>1</v>
      </c>
      <c r="P17" s="1357">
        <f>IF('Mkt Pen Veh-Mi'!P17=0,1,1/((1-Fuel2ShrbyTech!P18)/'Inputs 7&amp;8 SU'!$P30+Fuel2ShrbyTech!P18/'Inputs 7&amp;8 SU'!$V30))</f>
        <v>1</v>
      </c>
      <c r="Q17" s="1357">
        <f>IF('Mkt Pen Veh-Mi'!Q17=0,1,1/((1-Fuel2ShrbyTech!Q18)/'Inputs 7&amp;8 SU'!$Q30+Fuel2ShrbyTech!Q18/'Inputs 7&amp;8 SU'!$W30))</f>
        <v>1</v>
      </c>
      <c r="R17" s="1357">
        <f>IF('Mkt Pen Veh-Mi'!R17=0,1,1/((1-Fuel2ShrbyTech!R18)/'Inputs 7&amp;8 SU'!$R30+Fuel2ShrbyTech!R18/'Inputs 7&amp;8 SU'!$X30))</f>
        <v>1</v>
      </c>
      <c r="S17" s="1358">
        <f>IF('Mkt Pen Veh-Mi'!S17=0,1,1/((1-Fuel2ShrbyTech!S18)/'Inputs 7&amp;8 SU'!$S30+Fuel2ShrbyTech!S18/'Inputs 7&amp;8 SU'!$Y30))</f>
        <v>1</v>
      </c>
      <c r="U17" s="1305">
        <f t="shared" si="13"/>
        <v>2015</v>
      </c>
      <c r="V17" s="1356">
        <f t="shared" si="14"/>
        <v>6.5640435235508923</v>
      </c>
      <c r="W17" s="1357">
        <f t="shared" si="15"/>
        <v>0</v>
      </c>
      <c r="X17" s="1357">
        <f t="shared" si="16"/>
        <v>0</v>
      </c>
      <c r="Y17" s="1357">
        <f t="shared" si="17"/>
        <v>0</v>
      </c>
      <c r="Z17" s="1357">
        <f t="shared" si="18"/>
        <v>0</v>
      </c>
      <c r="AA17" s="1358">
        <f t="shared" si="19"/>
        <v>0</v>
      </c>
      <c r="AB17" s="1356">
        <f t="shared" si="20"/>
        <v>5.9816607409404146</v>
      </c>
      <c r="AC17" s="1357">
        <f t="shared" si="21"/>
        <v>0</v>
      </c>
      <c r="AD17" s="1357">
        <f t="shared" si="22"/>
        <v>0</v>
      </c>
      <c r="AE17" s="1357">
        <f t="shared" si="23"/>
        <v>0</v>
      </c>
      <c r="AF17" s="1357">
        <f t="shared" si="24"/>
        <v>0</v>
      </c>
      <c r="AG17" s="1358">
        <f t="shared" si="25"/>
        <v>0</v>
      </c>
      <c r="AH17" s="1356">
        <f t="shared" si="26"/>
        <v>6.1572807220146535</v>
      </c>
      <c r="AI17" s="1357">
        <f t="shared" si="27"/>
        <v>0</v>
      </c>
      <c r="AJ17" s="1357">
        <f t="shared" si="28"/>
        <v>0</v>
      </c>
      <c r="AK17" s="1357">
        <f t="shared" si="29"/>
        <v>0</v>
      </c>
      <c r="AL17" s="1357">
        <f t="shared" si="30"/>
        <v>0</v>
      </c>
      <c r="AM17" s="1358">
        <f t="shared" si="31"/>
        <v>0</v>
      </c>
      <c r="AN17" s="1284">
        <v>2015</v>
      </c>
      <c r="AO17" s="1435">
        <f t="array" ref="AO17">1/SUMPRODUCT(IFERROR(1/V17:AA17,0),'Mkt Pen Veh-Mi'!B17:G17)</f>
        <v>6.5640435235508923</v>
      </c>
      <c r="AP17" s="1436">
        <f t="array" ref="AP17">1/SUMPRODUCT(IFERROR(1/AB17:AG17,0),'Mkt Pen Veh-Mi'!H17:M17)</f>
        <v>5.9816607409404146</v>
      </c>
      <c r="AQ17" s="1440">
        <f t="array" ref="AQ17">1/SUMPRODUCT(IFERROR(1/AH17:AM17,0),'Mkt Pen Veh-Mi'!N17:S17)</f>
        <v>6.1572807220146535</v>
      </c>
      <c r="AR17" s="1433">
        <v>2015</v>
      </c>
      <c r="AS17" s="1435">
        <f t="shared" si="32"/>
        <v>1</v>
      </c>
      <c r="AT17" s="1436">
        <f t="shared" si="33"/>
        <v>1</v>
      </c>
      <c r="AU17" s="1436">
        <f t="shared" si="34"/>
        <v>1</v>
      </c>
      <c r="AV17" s="1440">
        <v>1</v>
      </c>
    </row>
    <row r="18" spans="1:48" s="1284" customFormat="1" ht="15" x14ac:dyDescent="0.25">
      <c r="A18" s="1299">
        <v>2016</v>
      </c>
      <c r="B18" s="1359">
        <f>IF('Mkt Pen Veh-Mi'!B18=0,1,1/((1-Fuel2ShrbyTech!B19)/'Inputs 7&amp;8 Sleep'!$N31+Fuel2ShrbyTech!B19/'Inputs 7&amp;8 Sleep'!$T31))</f>
        <v>6.7578987621151159</v>
      </c>
      <c r="C18" s="1360">
        <f>IF('Mkt Pen Veh-Mi'!C18=0,1,1/((1-Fuel2ShrbyTech!C19)/'Inputs 7&amp;8 Sleep'!$O31+Fuel2ShrbyTech!C19/'Inputs 7&amp;8 Sleep'!$U31))</f>
        <v>1</v>
      </c>
      <c r="D18" s="1360">
        <f>IF('Mkt Pen Veh-Mi'!D18=0,1,1/((1-Fuel2ShrbyTech!D19)/'Inputs 7&amp;8 Sleep'!$P31+Fuel2ShrbyTech!D19/'Inputs 7&amp;8 Sleep'!$V31))</f>
        <v>1</v>
      </c>
      <c r="E18" s="1360">
        <f>IF('Mkt Pen Veh-Mi'!E18=0,1,1/((1-Fuel2ShrbyTech!E19)/'Inputs 7&amp;8 Sleep'!$Q31+Fuel2ShrbyTech!E19/'Inputs 7&amp;8 Sleep'!$W31))</f>
        <v>1</v>
      </c>
      <c r="F18" s="1360">
        <f>IF('Mkt Pen Veh-Mi'!F18=0,1,1/((1-Fuel2ShrbyTech!F19)/'Inputs 7&amp;8 Sleep'!$R31+Fuel2ShrbyTech!F19/'Inputs 7&amp;8 Sleep'!$X31))</f>
        <v>1</v>
      </c>
      <c r="G18" s="1361">
        <f>IF('Mkt Pen Veh-Mi'!G18=0,1,1/((1-Fuel2ShrbyTech!G19)/'Inputs 7&amp;8 Sleep'!$S31+Fuel2ShrbyTech!G19/'Inputs 7&amp;8 Sleep'!$Y31))</f>
        <v>1</v>
      </c>
      <c r="H18" s="1359">
        <f>IF('Mkt Pen Veh-Mi'!H18=0,1,1/((1-Fuel2ShrbyTech!H19)/'Inputs 7&amp;8 Day'!$N31+Fuel2ShrbyTech!H19/'Inputs 7&amp;8 Day'!$T31))</f>
        <v>6.1132116519066555</v>
      </c>
      <c r="I18" s="1360">
        <f>IF('Mkt Pen Veh-Mi'!I18=0,1,1/((1-Fuel2ShrbyTech!I19)/'Inputs 7&amp;8 Day'!$O31+Fuel2ShrbyTech!I19/'Inputs 7&amp;8 Day'!$U31))</f>
        <v>1</v>
      </c>
      <c r="J18" s="1360">
        <f>IF('Mkt Pen Veh-Mi'!J18=0,1,1/((1-Fuel2ShrbyTech!J19)/'Inputs 7&amp;8 Day'!$P31+Fuel2ShrbyTech!J19/'Inputs 7&amp;8 Day'!$V31))</f>
        <v>1</v>
      </c>
      <c r="K18" s="1360">
        <f>IF('Mkt Pen Veh-Mi'!K18=0,1,1/((1-Fuel2ShrbyTech!K19)/'Inputs 7&amp;8 Day'!$Q31+Fuel2ShrbyTech!K19/'Inputs 7&amp;8 Day'!$W31))</f>
        <v>1</v>
      </c>
      <c r="L18" s="1360">
        <f>IF('Mkt Pen Veh-Mi'!L18=0,1,1/((1-Fuel2ShrbyTech!L19)/'Inputs 7&amp;8 Day'!$R31+Fuel2ShrbyTech!L19/'Inputs 7&amp;8 Day'!$X31))</f>
        <v>1</v>
      </c>
      <c r="M18" s="1361">
        <f>IF('Mkt Pen Veh-Mi'!M18=0,1,1/((1-Fuel2ShrbyTech!M19)/'Inputs 7&amp;8 Day'!$S31+Fuel2ShrbyTech!M19/'Inputs 7&amp;8 Day'!$Y31))</f>
        <v>1</v>
      </c>
      <c r="N18" s="1359">
        <f>IF('Mkt Pen Veh-Mi'!N18=0,1,1/((1-Fuel2ShrbyTech!N19)/'Inputs 7&amp;8 SU'!$N31+Fuel2ShrbyTech!N19/'Inputs 7&amp;8 SU'!$T31))</f>
        <v>6.2411515067977446</v>
      </c>
      <c r="O18" s="1360">
        <f>IF('Mkt Pen Veh-Mi'!O18=0,1,1/((1-Fuel2ShrbyTech!O19)/'Inputs 7&amp;8 SU'!$O31+Fuel2ShrbyTech!O19/'Inputs 7&amp;8 SU'!$U31))</f>
        <v>1</v>
      </c>
      <c r="P18" s="1360">
        <f>IF('Mkt Pen Veh-Mi'!P18=0,1,1/((1-Fuel2ShrbyTech!P19)/'Inputs 7&amp;8 SU'!$P31+Fuel2ShrbyTech!P19/'Inputs 7&amp;8 SU'!$V31))</f>
        <v>1</v>
      </c>
      <c r="Q18" s="1360">
        <f>IF('Mkt Pen Veh-Mi'!Q18=0,1,1/((1-Fuel2ShrbyTech!Q19)/'Inputs 7&amp;8 SU'!$Q31+Fuel2ShrbyTech!Q19/'Inputs 7&amp;8 SU'!$W31))</f>
        <v>1</v>
      </c>
      <c r="R18" s="1360">
        <f>IF('Mkt Pen Veh-Mi'!R18=0,1,1/((1-Fuel2ShrbyTech!R19)/'Inputs 7&amp;8 SU'!$R31+Fuel2ShrbyTech!R19/'Inputs 7&amp;8 SU'!$X31))</f>
        <v>1</v>
      </c>
      <c r="S18" s="1361">
        <f>IF('Mkt Pen Veh-Mi'!S18=0,1,1/((1-Fuel2ShrbyTech!S19)/'Inputs 7&amp;8 SU'!$S31+Fuel2ShrbyTech!S19/'Inputs 7&amp;8 SU'!$Y31))</f>
        <v>1</v>
      </c>
      <c r="U18" s="1299">
        <f t="shared" si="13"/>
        <v>2016</v>
      </c>
      <c r="V18" s="1359">
        <f t="shared" si="14"/>
        <v>6.7578987621151159</v>
      </c>
      <c r="W18" s="1360">
        <f t="shared" si="15"/>
        <v>0</v>
      </c>
      <c r="X18" s="1360">
        <f t="shared" si="16"/>
        <v>0</v>
      </c>
      <c r="Y18" s="1360">
        <f t="shared" si="17"/>
        <v>0</v>
      </c>
      <c r="Z18" s="1360">
        <f t="shared" si="18"/>
        <v>0</v>
      </c>
      <c r="AA18" s="1361">
        <f t="shared" si="19"/>
        <v>0</v>
      </c>
      <c r="AB18" s="1359">
        <f t="shared" si="20"/>
        <v>6.1132116519066555</v>
      </c>
      <c r="AC18" s="1360">
        <f t="shared" si="21"/>
        <v>0</v>
      </c>
      <c r="AD18" s="1360">
        <f t="shared" si="22"/>
        <v>0</v>
      </c>
      <c r="AE18" s="1360">
        <f t="shared" si="23"/>
        <v>0</v>
      </c>
      <c r="AF18" s="1360">
        <f t="shared" si="24"/>
        <v>0</v>
      </c>
      <c r="AG18" s="1361">
        <f t="shared" si="25"/>
        <v>0</v>
      </c>
      <c r="AH18" s="1359">
        <f t="shared" si="26"/>
        <v>6.2411515067977446</v>
      </c>
      <c r="AI18" s="1360">
        <f t="shared" si="27"/>
        <v>0</v>
      </c>
      <c r="AJ18" s="1360">
        <f t="shared" si="28"/>
        <v>0</v>
      </c>
      <c r="AK18" s="1360">
        <f t="shared" si="29"/>
        <v>0</v>
      </c>
      <c r="AL18" s="1360">
        <f t="shared" si="30"/>
        <v>0</v>
      </c>
      <c r="AM18" s="1361">
        <f t="shared" si="31"/>
        <v>0</v>
      </c>
      <c r="AN18" s="1284">
        <v>2016</v>
      </c>
      <c r="AO18" s="1435">
        <f t="array" ref="AO18">1/SUMPRODUCT(IFERROR(1/V18:AA18,0),'Mkt Pen Veh-Mi'!B18:G18)</f>
        <v>6.7578987621151159</v>
      </c>
      <c r="AP18" s="1436">
        <f t="array" ref="AP18">1/SUMPRODUCT(IFERROR(1/AB18:AG18,0),'Mkt Pen Veh-Mi'!H18:M18)</f>
        <v>6.1132116519066555</v>
      </c>
      <c r="AQ18" s="1440">
        <f t="array" ref="AQ18">1/SUMPRODUCT(IFERROR(1/AH18:AM18,0),'Mkt Pen Veh-Mi'!N18:S18)</f>
        <v>6.2411515067977446</v>
      </c>
      <c r="AR18" s="1433">
        <v>2016</v>
      </c>
      <c r="AS18" s="1435">
        <f t="shared" si="32"/>
        <v>1</v>
      </c>
      <c r="AT18" s="1436">
        <f t="shared" si="33"/>
        <v>1</v>
      </c>
      <c r="AU18" s="1436">
        <f t="shared" si="34"/>
        <v>1</v>
      </c>
      <c r="AV18" s="1440">
        <v>1</v>
      </c>
    </row>
    <row r="19" spans="1:48" s="1284" customFormat="1" ht="15" x14ac:dyDescent="0.25">
      <c r="A19" s="1299">
        <v>2017</v>
      </c>
      <c r="B19" s="1353">
        <f>IF('Mkt Pen Veh-Mi'!B19=0,1,1/((1-Fuel2ShrbyTech!B20)/'Inputs 7&amp;8 Sleep'!$N32+Fuel2ShrbyTech!B20/'Inputs 7&amp;8 Sleep'!$T32))</f>
        <v>6.9778255348470379</v>
      </c>
      <c r="C19" s="1354">
        <f>IF('Mkt Pen Veh-Mi'!C19=0,1,1/((1-Fuel2ShrbyTech!C20)/'Inputs 7&amp;8 Sleep'!$O32+Fuel2ShrbyTech!C20/'Inputs 7&amp;8 Sleep'!$U32))</f>
        <v>1</v>
      </c>
      <c r="D19" s="1354">
        <f>IF('Mkt Pen Veh-Mi'!D19=0,1,1/((1-Fuel2ShrbyTech!D20)/'Inputs 7&amp;8 Sleep'!$P32+Fuel2ShrbyTech!D20/'Inputs 7&amp;8 Sleep'!$V32))</f>
        <v>1</v>
      </c>
      <c r="E19" s="1354">
        <f>IF('Mkt Pen Veh-Mi'!E19=0,1,1/((1-Fuel2ShrbyTech!E20)/'Inputs 7&amp;8 Sleep'!$Q32+Fuel2ShrbyTech!E20/'Inputs 7&amp;8 Sleep'!$W32))</f>
        <v>1</v>
      </c>
      <c r="F19" s="1354">
        <f>IF('Mkt Pen Veh-Mi'!F19=0,1,1/((1-Fuel2ShrbyTech!F20)/'Inputs 7&amp;8 Sleep'!$R32+Fuel2ShrbyTech!F20/'Inputs 7&amp;8 Sleep'!$X32))</f>
        <v>1</v>
      </c>
      <c r="G19" s="1355">
        <f>IF('Mkt Pen Veh-Mi'!G19=0,1,1/((1-Fuel2ShrbyTech!G20)/'Inputs 7&amp;8 Sleep'!$S32+Fuel2ShrbyTech!G20/'Inputs 7&amp;8 Sleep'!$Y32))</f>
        <v>1</v>
      </c>
      <c r="H19" s="1353">
        <f>IF('Mkt Pen Veh-Mi'!H19=0,1,1/((1-Fuel2ShrbyTech!H20)/'Inputs 7&amp;8 Day'!$N32+Fuel2ShrbyTech!H20/'Inputs 7&amp;8 Day'!$T32))</f>
        <v>6.288278677366403</v>
      </c>
      <c r="I19" s="1354">
        <f>IF('Mkt Pen Veh-Mi'!I19=0,1,1/((1-Fuel2ShrbyTech!I20)/'Inputs 7&amp;8 Day'!$O32+Fuel2ShrbyTech!I20/'Inputs 7&amp;8 Day'!$U32))</f>
        <v>1</v>
      </c>
      <c r="J19" s="1354">
        <f>IF('Mkt Pen Veh-Mi'!J19=0,1,1/((1-Fuel2ShrbyTech!J20)/'Inputs 7&amp;8 Day'!$P32+Fuel2ShrbyTech!J20/'Inputs 7&amp;8 Day'!$V32))</f>
        <v>1</v>
      </c>
      <c r="K19" s="1354">
        <f>IF('Mkt Pen Veh-Mi'!K19=0,1,1/((1-Fuel2ShrbyTech!K20)/'Inputs 7&amp;8 Day'!$Q32+Fuel2ShrbyTech!K20/'Inputs 7&amp;8 Day'!$W32))</f>
        <v>1</v>
      </c>
      <c r="L19" s="1354">
        <f>IF('Mkt Pen Veh-Mi'!L19=0,1,1/((1-Fuel2ShrbyTech!L20)/'Inputs 7&amp;8 Day'!$R32+Fuel2ShrbyTech!L20/'Inputs 7&amp;8 Day'!$X32))</f>
        <v>1</v>
      </c>
      <c r="M19" s="1355">
        <f>IF('Mkt Pen Veh-Mi'!M19=0,1,1/((1-Fuel2ShrbyTech!M20)/'Inputs 7&amp;8 Day'!$S32+Fuel2ShrbyTech!M20/'Inputs 7&amp;8 Day'!$Y32))</f>
        <v>1</v>
      </c>
      <c r="N19" s="1353">
        <f>IF('Mkt Pen Veh-Mi'!N19=0,1,1/((1-Fuel2ShrbyTech!N20)/'Inputs 7&amp;8 SU'!$N32+Fuel2ShrbyTech!N20/'Inputs 7&amp;8 SU'!$T32))</f>
        <v>6.3326212196714469</v>
      </c>
      <c r="O19" s="1354">
        <f>IF('Mkt Pen Veh-Mi'!O19=0,1,1/((1-Fuel2ShrbyTech!O20)/'Inputs 7&amp;8 SU'!$O32+Fuel2ShrbyTech!O20/'Inputs 7&amp;8 SU'!$U32))</f>
        <v>1</v>
      </c>
      <c r="P19" s="1354">
        <f>IF('Mkt Pen Veh-Mi'!P19=0,1,1/((1-Fuel2ShrbyTech!P20)/'Inputs 7&amp;8 SU'!$P32+Fuel2ShrbyTech!P20/'Inputs 7&amp;8 SU'!$V32))</f>
        <v>1</v>
      </c>
      <c r="Q19" s="1354">
        <f>IF('Mkt Pen Veh-Mi'!Q19=0,1,1/((1-Fuel2ShrbyTech!Q20)/'Inputs 7&amp;8 SU'!$Q32+Fuel2ShrbyTech!Q20/'Inputs 7&amp;8 SU'!$W32))</f>
        <v>1</v>
      </c>
      <c r="R19" s="1354">
        <f>IF('Mkt Pen Veh-Mi'!R19=0,1,1/((1-Fuel2ShrbyTech!R20)/'Inputs 7&amp;8 SU'!$R32+Fuel2ShrbyTech!R20/'Inputs 7&amp;8 SU'!$X32))</f>
        <v>1</v>
      </c>
      <c r="S19" s="1355">
        <f>IF('Mkt Pen Veh-Mi'!S19=0,1,1/((1-Fuel2ShrbyTech!S20)/'Inputs 7&amp;8 SU'!$S32+Fuel2ShrbyTech!S20/'Inputs 7&amp;8 SU'!$Y32))</f>
        <v>1</v>
      </c>
      <c r="U19" s="1299">
        <f t="shared" si="13"/>
        <v>2017</v>
      </c>
      <c r="V19" s="1353">
        <f t="shared" si="14"/>
        <v>6.9778255348470379</v>
      </c>
      <c r="W19" s="1354">
        <f t="shared" si="15"/>
        <v>0</v>
      </c>
      <c r="X19" s="1354">
        <f t="shared" si="16"/>
        <v>0</v>
      </c>
      <c r="Y19" s="1354">
        <f t="shared" si="17"/>
        <v>0</v>
      </c>
      <c r="Z19" s="1354">
        <f t="shared" si="18"/>
        <v>0</v>
      </c>
      <c r="AA19" s="1355">
        <f t="shared" si="19"/>
        <v>0</v>
      </c>
      <c r="AB19" s="1353">
        <f t="shared" si="20"/>
        <v>6.288278677366403</v>
      </c>
      <c r="AC19" s="1354">
        <f t="shared" si="21"/>
        <v>0</v>
      </c>
      <c r="AD19" s="1354">
        <f t="shared" si="22"/>
        <v>0</v>
      </c>
      <c r="AE19" s="1354">
        <f t="shared" si="23"/>
        <v>0</v>
      </c>
      <c r="AF19" s="1354">
        <f t="shared" si="24"/>
        <v>0</v>
      </c>
      <c r="AG19" s="1355">
        <f t="shared" si="25"/>
        <v>0</v>
      </c>
      <c r="AH19" s="1353">
        <f t="shared" si="26"/>
        <v>6.3326212196714469</v>
      </c>
      <c r="AI19" s="1354">
        <f t="shared" si="27"/>
        <v>0</v>
      </c>
      <c r="AJ19" s="1354">
        <f t="shared" si="28"/>
        <v>0</v>
      </c>
      <c r="AK19" s="1354">
        <f t="shared" si="29"/>
        <v>0</v>
      </c>
      <c r="AL19" s="1354">
        <f t="shared" si="30"/>
        <v>0</v>
      </c>
      <c r="AM19" s="1355">
        <f t="shared" si="31"/>
        <v>0</v>
      </c>
      <c r="AN19" s="1284">
        <v>2017</v>
      </c>
      <c r="AO19" s="1435">
        <f t="array" ref="AO19">1/SUMPRODUCT(IFERROR(1/V19:AA19,0),'Mkt Pen Veh-Mi'!B19:G19)</f>
        <v>6.9778255348470379</v>
      </c>
      <c r="AP19" s="1436">
        <f t="array" ref="AP19">1/SUMPRODUCT(IFERROR(1/AB19:AG19,0),'Mkt Pen Veh-Mi'!H19:M19)</f>
        <v>6.288278677366403</v>
      </c>
      <c r="AQ19" s="1440">
        <f t="array" ref="AQ19">1/SUMPRODUCT(IFERROR(1/AH19:AM19,0),'Mkt Pen Veh-Mi'!N19:S19)</f>
        <v>6.3326212196714469</v>
      </c>
      <c r="AR19" s="1433">
        <v>2017</v>
      </c>
      <c r="AS19" s="1435">
        <f t="shared" si="32"/>
        <v>1</v>
      </c>
      <c r="AT19" s="1436">
        <f t="shared" si="33"/>
        <v>1</v>
      </c>
      <c r="AU19" s="1436">
        <f t="shared" si="34"/>
        <v>1</v>
      </c>
      <c r="AV19" s="1440">
        <v>1</v>
      </c>
    </row>
    <row r="20" spans="1:48" s="1284" customFormat="1" ht="15" x14ac:dyDescent="0.25">
      <c r="A20" s="1299">
        <v>2018</v>
      </c>
      <c r="B20" s="1353">
        <f>IF('Mkt Pen Veh-Mi'!B20=0,1,1/((1-Fuel2ShrbyTech!B21)/'Inputs 7&amp;8 Sleep'!$N33+Fuel2ShrbyTech!B21/'Inputs 7&amp;8 Sleep'!$T33))</f>
        <v>7.1810998265871024</v>
      </c>
      <c r="C20" s="1354">
        <f>IF('Mkt Pen Veh-Mi'!C20=0,1,1/((1-Fuel2ShrbyTech!C21)/'Inputs 7&amp;8 Sleep'!$O33+Fuel2ShrbyTech!C21/'Inputs 7&amp;8 Sleep'!$U33))</f>
        <v>1</v>
      </c>
      <c r="D20" s="1354">
        <f>IF('Mkt Pen Veh-Mi'!D20=0,1,1/((1-Fuel2ShrbyTech!D21)/'Inputs 7&amp;8 Sleep'!$P33+Fuel2ShrbyTech!D21/'Inputs 7&amp;8 Sleep'!$V33))</f>
        <v>1</v>
      </c>
      <c r="E20" s="1354">
        <f>IF('Mkt Pen Veh-Mi'!E20=0,1,1/((1-Fuel2ShrbyTech!E21)/'Inputs 7&amp;8 Sleep'!$Q33+Fuel2ShrbyTech!E21/'Inputs 7&amp;8 Sleep'!$W33))</f>
        <v>1</v>
      </c>
      <c r="F20" s="1354">
        <f>IF('Mkt Pen Veh-Mi'!F20=0,1,1/((1-Fuel2ShrbyTech!F21)/'Inputs 7&amp;8 Sleep'!$R33+Fuel2ShrbyTech!F21/'Inputs 7&amp;8 Sleep'!$X33))</f>
        <v>1</v>
      </c>
      <c r="G20" s="1355">
        <f>IF('Mkt Pen Veh-Mi'!G20=0,1,1/((1-Fuel2ShrbyTech!G21)/'Inputs 7&amp;8 Sleep'!$S33+Fuel2ShrbyTech!G21/'Inputs 7&amp;8 Sleep'!$Y33))</f>
        <v>1</v>
      </c>
      <c r="H20" s="1353">
        <f>IF('Mkt Pen Veh-Mi'!H20=0,1,1/((1-Fuel2ShrbyTech!H21)/'Inputs 7&amp;8 Day'!$N33+Fuel2ShrbyTech!H21/'Inputs 7&amp;8 Day'!$T33))</f>
        <v>6.4711453217769002</v>
      </c>
      <c r="I20" s="1354">
        <f>IF('Mkt Pen Veh-Mi'!I20=0,1,1/((1-Fuel2ShrbyTech!I21)/'Inputs 7&amp;8 Day'!$O33+Fuel2ShrbyTech!I21/'Inputs 7&amp;8 Day'!$U33))</f>
        <v>1</v>
      </c>
      <c r="J20" s="1354">
        <f>IF('Mkt Pen Veh-Mi'!J20=0,1,1/((1-Fuel2ShrbyTech!J21)/'Inputs 7&amp;8 Day'!$P33+Fuel2ShrbyTech!J21/'Inputs 7&amp;8 Day'!$V33))</f>
        <v>1</v>
      </c>
      <c r="K20" s="1354">
        <f>IF('Mkt Pen Veh-Mi'!K20=0,1,1/((1-Fuel2ShrbyTech!K21)/'Inputs 7&amp;8 Day'!$Q33+Fuel2ShrbyTech!K21/'Inputs 7&amp;8 Day'!$W33))</f>
        <v>1</v>
      </c>
      <c r="L20" s="1354">
        <f>IF('Mkt Pen Veh-Mi'!L20=0,1,1/((1-Fuel2ShrbyTech!L21)/'Inputs 7&amp;8 Day'!$R33+Fuel2ShrbyTech!L21/'Inputs 7&amp;8 Day'!$X33))</f>
        <v>1</v>
      </c>
      <c r="M20" s="1355">
        <f>IF('Mkt Pen Veh-Mi'!M20=0,1,1/((1-Fuel2ShrbyTech!M21)/'Inputs 7&amp;8 Day'!$S33+Fuel2ShrbyTech!M21/'Inputs 7&amp;8 Day'!$Y33))</f>
        <v>1</v>
      </c>
      <c r="N20" s="1353">
        <f>IF('Mkt Pen Veh-Mi'!N20=0,1,1/((1-Fuel2ShrbyTech!N21)/'Inputs 7&amp;8 SU'!$N33+Fuel2ShrbyTech!N21/'Inputs 7&amp;8 SU'!$T33))</f>
        <v>6.5174170137174441</v>
      </c>
      <c r="O20" s="1354">
        <f>IF('Mkt Pen Veh-Mi'!O20=0,1,1/((1-Fuel2ShrbyTech!O21)/'Inputs 7&amp;8 SU'!$O33+Fuel2ShrbyTech!O21/'Inputs 7&amp;8 SU'!$U33))</f>
        <v>1</v>
      </c>
      <c r="P20" s="1354">
        <f>IF('Mkt Pen Veh-Mi'!P20=0,1,1/((1-Fuel2ShrbyTech!P21)/'Inputs 7&amp;8 SU'!$P33+Fuel2ShrbyTech!P21/'Inputs 7&amp;8 SU'!$V33))</f>
        <v>1</v>
      </c>
      <c r="Q20" s="1354">
        <f>IF('Mkt Pen Veh-Mi'!Q20=0,1,1/((1-Fuel2ShrbyTech!Q21)/'Inputs 7&amp;8 SU'!$Q33+Fuel2ShrbyTech!Q21/'Inputs 7&amp;8 SU'!$W33))</f>
        <v>1</v>
      </c>
      <c r="R20" s="1354">
        <f>IF('Mkt Pen Veh-Mi'!R20=0,1,1/((1-Fuel2ShrbyTech!R21)/'Inputs 7&amp;8 SU'!$R33+Fuel2ShrbyTech!R21/'Inputs 7&amp;8 SU'!$X33))</f>
        <v>1</v>
      </c>
      <c r="S20" s="1355">
        <f>IF('Mkt Pen Veh-Mi'!S20=0,1,1/((1-Fuel2ShrbyTech!S21)/'Inputs 7&amp;8 SU'!$S33+Fuel2ShrbyTech!S21/'Inputs 7&amp;8 SU'!$Y33))</f>
        <v>1</v>
      </c>
      <c r="U20" s="1299">
        <f t="shared" si="13"/>
        <v>2018</v>
      </c>
      <c r="V20" s="1353">
        <f t="shared" si="14"/>
        <v>7.1810998265871024</v>
      </c>
      <c r="W20" s="1354">
        <f t="shared" si="15"/>
        <v>0</v>
      </c>
      <c r="X20" s="1354">
        <f t="shared" si="16"/>
        <v>0</v>
      </c>
      <c r="Y20" s="1354">
        <f t="shared" si="17"/>
        <v>0</v>
      </c>
      <c r="Z20" s="1354">
        <f t="shared" si="18"/>
        <v>0</v>
      </c>
      <c r="AA20" s="1355">
        <f t="shared" si="19"/>
        <v>0</v>
      </c>
      <c r="AB20" s="1353">
        <f t="shared" si="20"/>
        <v>6.4711453217769002</v>
      </c>
      <c r="AC20" s="1354">
        <f t="shared" si="21"/>
        <v>0</v>
      </c>
      <c r="AD20" s="1354">
        <f t="shared" si="22"/>
        <v>0</v>
      </c>
      <c r="AE20" s="1354">
        <f t="shared" si="23"/>
        <v>0</v>
      </c>
      <c r="AF20" s="1354">
        <f t="shared" si="24"/>
        <v>0</v>
      </c>
      <c r="AG20" s="1355">
        <f t="shared" si="25"/>
        <v>0</v>
      </c>
      <c r="AH20" s="1353">
        <f t="shared" si="26"/>
        <v>6.5174170137174441</v>
      </c>
      <c r="AI20" s="1354">
        <f t="shared" si="27"/>
        <v>0</v>
      </c>
      <c r="AJ20" s="1354">
        <f t="shared" si="28"/>
        <v>0</v>
      </c>
      <c r="AK20" s="1354">
        <f t="shared" si="29"/>
        <v>0</v>
      </c>
      <c r="AL20" s="1354">
        <f t="shared" si="30"/>
        <v>0</v>
      </c>
      <c r="AM20" s="1355">
        <f t="shared" si="31"/>
        <v>0</v>
      </c>
      <c r="AN20" s="1284">
        <v>2018</v>
      </c>
      <c r="AO20" s="1435">
        <f t="array" ref="AO20">1/SUMPRODUCT(IFERROR(1/V20:AA20,0),'Mkt Pen Veh-Mi'!B20:G20)</f>
        <v>7.1810998265871024</v>
      </c>
      <c r="AP20" s="1436">
        <f t="array" ref="AP20">1/SUMPRODUCT(IFERROR(1/AB20:AG20,0),'Mkt Pen Veh-Mi'!H20:M20)</f>
        <v>6.4711453217769002</v>
      </c>
      <c r="AQ20" s="1440">
        <f t="array" ref="AQ20">1/SUMPRODUCT(IFERROR(1/AH20:AM20,0),'Mkt Pen Veh-Mi'!N20:S20)</f>
        <v>6.5174170137174441</v>
      </c>
      <c r="AR20" s="1433">
        <v>2018</v>
      </c>
      <c r="AS20" s="1435">
        <f t="shared" si="32"/>
        <v>1</v>
      </c>
      <c r="AT20" s="1436">
        <f t="shared" si="33"/>
        <v>1</v>
      </c>
      <c r="AU20" s="1436">
        <f t="shared" si="34"/>
        <v>1</v>
      </c>
      <c r="AV20" s="1440">
        <v>1</v>
      </c>
    </row>
    <row r="21" spans="1:48" s="1284" customFormat="1" ht="15" x14ac:dyDescent="0.25">
      <c r="A21" s="1299">
        <v>2019</v>
      </c>
      <c r="B21" s="1353">
        <f>IF('Mkt Pen Veh-Mi'!B21=0,1,1/((1-Fuel2ShrbyTech!B22)/'Inputs 7&amp;8 Sleep'!$N34+Fuel2ShrbyTech!B22/'Inputs 7&amp;8 Sleep'!$T34))</f>
        <v>7.2268959185188635</v>
      </c>
      <c r="C21" s="1354">
        <f>IF('Mkt Pen Veh-Mi'!C21=0,1,1/((1-Fuel2ShrbyTech!C22)/'Inputs 7&amp;8 Sleep'!$O34+Fuel2ShrbyTech!C22/'Inputs 7&amp;8 Sleep'!$U34))</f>
        <v>1</v>
      </c>
      <c r="D21" s="1354">
        <f>IF('Mkt Pen Veh-Mi'!D21=0,1,1/((1-Fuel2ShrbyTech!D22)/'Inputs 7&amp;8 Sleep'!$P34+Fuel2ShrbyTech!D22/'Inputs 7&amp;8 Sleep'!$V34))</f>
        <v>1</v>
      </c>
      <c r="E21" s="1354">
        <f>IF('Mkt Pen Veh-Mi'!E21=0,1,1/((1-Fuel2ShrbyTech!E22)/'Inputs 7&amp;8 Sleep'!$Q34+Fuel2ShrbyTech!E22/'Inputs 7&amp;8 Sleep'!$W34))</f>
        <v>1</v>
      </c>
      <c r="F21" s="1354">
        <f>IF('Mkt Pen Veh-Mi'!F21=0,1,1/((1-Fuel2ShrbyTech!F22)/'Inputs 7&amp;8 Sleep'!$R34+Fuel2ShrbyTech!F22/'Inputs 7&amp;8 Sleep'!$X34))</f>
        <v>1</v>
      </c>
      <c r="G21" s="1355">
        <f>IF('Mkt Pen Veh-Mi'!G21=0,1,1/((1-Fuel2ShrbyTech!G22)/'Inputs 7&amp;8 Sleep'!$S34+Fuel2ShrbyTech!G22/'Inputs 7&amp;8 Sleep'!$Y34))</f>
        <v>1</v>
      </c>
      <c r="H21" s="1353">
        <f>IF('Mkt Pen Veh-Mi'!H21=0,1,1/((1-Fuel2ShrbyTech!H22)/'Inputs 7&amp;8 Day'!$N34+Fuel2ShrbyTech!H22/'Inputs 7&amp;8 Day'!$T34))</f>
        <v>6.5140409362154905</v>
      </c>
      <c r="I21" s="1354">
        <f>IF('Mkt Pen Veh-Mi'!I21=0,1,1/((1-Fuel2ShrbyTech!I22)/'Inputs 7&amp;8 Day'!$O34+Fuel2ShrbyTech!I22/'Inputs 7&amp;8 Day'!$U34))</f>
        <v>1</v>
      </c>
      <c r="J21" s="1354">
        <f>IF('Mkt Pen Veh-Mi'!J21=0,1,1/((1-Fuel2ShrbyTech!J22)/'Inputs 7&amp;8 Day'!$P34+Fuel2ShrbyTech!J22/'Inputs 7&amp;8 Day'!$V34))</f>
        <v>1</v>
      </c>
      <c r="K21" s="1354">
        <f>IF('Mkt Pen Veh-Mi'!K21=0,1,1/((1-Fuel2ShrbyTech!K22)/'Inputs 7&amp;8 Day'!$Q34+Fuel2ShrbyTech!K22/'Inputs 7&amp;8 Day'!$W34))</f>
        <v>1</v>
      </c>
      <c r="L21" s="1354">
        <f>IF('Mkt Pen Veh-Mi'!L21=0,1,1/((1-Fuel2ShrbyTech!L22)/'Inputs 7&amp;8 Day'!$R34+Fuel2ShrbyTech!L22/'Inputs 7&amp;8 Day'!$X34))</f>
        <v>1</v>
      </c>
      <c r="M21" s="1355">
        <f>IF('Mkt Pen Veh-Mi'!M21=0,1,1/((1-Fuel2ShrbyTech!M22)/'Inputs 7&amp;8 Day'!$S34+Fuel2ShrbyTech!M22/'Inputs 7&amp;8 Day'!$Y34))</f>
        <v>1</v>
      </c>
      <c r="N21" s="1353">
        <f>IF('Mkt Pen Veh-Mi'!N21=0,1,1/((1-Fuel2ShrbyTech!N22)/'Inputs 7&amp;8 SU'!$N34+Fuel2ShrbyTech!N22/'Inputs 7&amp;8 SU'!$T34))</f>
        <v>6.5508036243073944</v>
      </c>
      <c r="O21" s="1354">
        <f>IF('Mkt Pen Veh-Mi'!O21=0,1,1/((1-Fuel2ShrbyTech!O22)/'Inputs 7&amp;8 SU'!$O34+Fuel2ShrbyTech!O22/'Inputs 7&amp;8 SU'!$U34))</f>
        <v>1</v>
      </c>
      <c r="P21" s="1354">
        <f>IF('Mkt Pen Veh-Mi'!P21=0,1,1/((1-Fuel2ShrbyTech!P22)/'Inputs 7&amp;8 SU'!$P34+Fuel2ShrbyTech!P22/'Inputs 7&amp;8 SU'!$V34))</f>
        <v>1</v>
      </c>
      <c r="Q21" s="1354">
        <f>IF('Mkt Pen Veh-Mi'!Q21=0,1,1/((1-Fuel2ShrbyTech!Q22)/'Inputs 7&amp;8 SU'!$Q34+Fuel2ShrbyTech!Q22/'Inputs 7&amp;8 SU'!$W34))</f>
        <v>1</v>
      </c>
      <c r="R21" s="1354">
        <f>IF('Mkt Pen Veh-Mi'!R21=0,1,1/((1-Fuel2ShrbyTech!R22)/'Inputs 7&amp;8 SU'!$R34+Fuel2ShrbyTech!R22/'Inputs 7&amp;8 SU'!$X34))</f>
        <v>1</v>
      </c>
      <c r="S21" s="1355">
        <f>IF('Mkt Pen Veh-Mi'!S21=0,1,1/((1-Fuel2ShrbyTech!S22)/'Inputs 7&amp;8 SU'!$S34+Fuel2ShrbyTech!S22/'Inputs 7&amp;8 SU'!$Y34))</f>
        <v>1</v>
      </c>
      <c r="U21" s="1299">
        <f t="shared" si="13"/>
        <v>2019</v>
      </c>
      <c r="V21" s="1353">
        <f t="shared" si="14"/>
        <v>7.2268959185188635</v>
      </c>
      <c r="W21" s="1354">
        <f t="shared" si="15"/>
        <v>0</v>
      </c>
      <c r="X21" s="1354">
        <f t="shared" si="16"/>
        <v>0</v>
      </c>
      <c r="Y21" s="1354">
        <f t="shared" si="17"/>
        <v>0</v>
      </c>
      <c r="Z21" s="1354">
        <f t="shared" si="18"/>
        <v>0</v>
      </c>
      <c r="AA21" s="1355">
        <f t="shared" si="19"/>
        <v>0</v>
      </c>
      <c r="AB21" s="1353">
        <f t="shared" si="20"/>
        <v>6.5140409362154905</v>
      </c>
      <c r="AC21" s="1354">
        <f t="shared" si="21"/>
        <v>0</v>
      </c>
      <c r="AD21" s="1354">
        <f t="shared" si="22"/>
        <v>0</v>
      </c>
      <c r="AE21" s="1354">
        <f t="shared" si="23"/>
        <v>0</v>
      </c>
      <c r="AF21" s="1354">
        <f t="shared" si="24"/>
        <v>0</v>
      </c>
      <c r="AG21" s="1355">
        <f t="shared" si="25"/>
        <v>0</v>
      </c>
      <c r="AH21" s="1353">
        <f t="shared" si="26"/>
        <v>6.5508036243073944</v>
      </c>
      <c r="AI21" s="1354">
        <f t="shared" si="27"/>
        <v>0</v>
      </c>
      <c r="AJ21" s="1354">
        <f t="shared" si="28"/>
        <v>0</v>
      </c>
      <c r="AK21" s="1354">
        <f t="shared" si="29"/>
        <v>0</v>
      </c>
      <c r="AL21" s="1354">
        <f t="shared" si="30"/>
        <v>0</v>
      </c>
      <c r="AM21" s="1355">
        <f t="shared" si="31"/>
        <v>0</v>
      </c>
      <c r="AN21" s="1284">
        <v>2019</v>
      </c>
      <c r="AO21" s="1435">
        <f t="array" ref="AO21">1/SUMPRODUCT(IFERROR(1/V21:AA21,0),'Mkt Pen Veh-Mi'!B21:G21)</f>
        <v>7.2268959185188635</v>
      </c>
      <c r="AP21" s="1436">
        <f t="array" ref="AP21">1/SUMPRODUCT(IFERROR(1/AB21:AG21,0),'Mkt Pen Veh-Mi'!H21:M21)</f>
        <v>6.5140409362154905</v>
      </c>
      <c r="AQ21" s="1440">
        <f t="array" ref="AQ21">1/SUMPRODUCT(IFERROR(1/AH21:AM21,0),'Mkt Pen Veh-Mi'!N21:S21)</f>
        <v>6.5508036243073944</v>
      </c>
      <c r="AR21" s="1433">
        <v>2019</v>
      </c>
      <c r="AS21" s="1435">
        <f t="shared" si="32"/>
        <v>1</v>
      </c>
      <c r="AT21" s="1436">
        <f t="shared" si="33"/>
        <v>1</v>
      </c>
      <c r="AU21" s="1436">
        <f t="shared" si="34"/>
        <v>1</v>
      </c>
      <c r="AV21" s="1440">
        <v>1</v>
      </c>
    </row>
    <row r="22" spans="1:48" s="1284" customFormat="1" ht="15" x14ac:dyDescent="0.25">
      <c r="A22" s="1305">
        <v>2020</v>
      </c>
      <c r="B22" s="1356">
        <f>IF('Mkt Pen Veh-Mi'!B22=0,1,1/((1-Fuel2ShrbyTech!B23)/'Inputs 7&amp;8 Sleep'!$N35+Fuel2ShrbyTech!B23/'Inputs 7&amp;8 Sleep'!$T35))</f>
        <v>7.2892680928012563</v>
      </c>
      <c r="C22" s="1357">
        <f>IF('Mkt Pen Veh-Mi'!C22=0,1,1/((1-Fuel2ShrbyTech!C23)/'Inputs 7&amp;8 Sleep'!$O35+Fuel2ShrbyTech!C23/'Inputs 7&amp;8 Sleep'!$U35))</f>
        <v>1</v>
      </c>
      <c r="D22" s="1357">
        <f>IF('Mkt Pen Veh-Mi'!D22=0,1,1/((1-Fuel2ShrbyTech!D23)/'Inputs 7&amp;8 Sleep'!$P35+Fuel2ShrbyTech!D23/'Inputs 7&amp;8 Sleep'!$V35))</f>
        <v>1</v>
      </c>
      <c r="E22" s="1357">
        <f>IF('Mkt Pen Veh-Mi'!E22=0,1,1/((1-Fuel2ShrbyTech!E23)/'Inputs 7&amp;8 Sleep'!$Q35+Fuel2ShrbyTech!E23/'Inputs 7&amp;8 Sleep'!$W35))</f>
        <v>1</v>
      </c>
      <c r="F22" s="1357">
        <f>IF('Mkt Pen Veh-Mi'!F22=0,1,1/((1-Fuel2ShrbyTech!F23)/'Inputs 7&amp;8 Sleep'!$R35+Fuel2ShrbyTech!F23/'Inputs 7&amp;8 Sleep'!$X35))</f>
        <v>1</v>
      </c>
      <c r="G22" s="1358">
        <f>IF('Mkt Pen Veh-Mi'!G22=0,1,1/((1-Fuel2ShrbyTech!G23)/'Inputs 7&amp;8 Sleep'!$S35+Fuel2ShrbyTech!G23/'Inputs 7&amp;8 Sleep'!$Y35))</f>
        <v>1</v>
      </c>
      <c r="H22" s="1356">
        <f>IF('Mkt Pen Veh-Mi'!H22=0,1,1/((1-Fuel2ShrbyTech!H23)/'Inputs 7&amp;8 Day'!$N35+Fuel2ShrbyTech!H23/'Inputs 7&amp;8 Day'!$T35))</f>
        <v>6.5740785776431485</v>
      </c>
      <c r="I22" s="1357">
        <f>IF('Mkt Pen Veh-Mi'!I22=0,1,1/((1-Fuel2ShrbyTech!I23)/'Inputs 7&amp;8 Day'!$O35+Fuel2ShrbyTech!I23/'Inputs 7&amp;8 Day'!$U35))</f>
        <v>1</v>
      </c>
      <c r="J22" s="1357">
        <f>IF('Mkt Pen Veh-Mi'!J22=0,1,1/((1-Fuel2ShrbyTech!J23)/'Inputs 7&amp;8 Day'!$P35+Fuel2ShrbyTech!J23/'Inputs 7&amp;8 Day'!$V35))</f>
        <v>1</v>
      </c>
      <c r="K22" s="1357">
        <f>IF('Mkt Pen Veh-Mi'!K22=0,1,1/((1-Fuel2ShrbyTech!K23)/'Inputs 7&amp;8 Day'!$Q35+Fuel2ShrbyTech!K23/'Inputs 7&amp;8 Day'!$W35))</f>
        <v>1</v>
      </c>
      <c r="L22" s="1357">
        <f>IF('Mkt Pen Veh-Mi'!L22=0,1,1/((1-Fuel2ShrbyTech!L23)/'Inputs 7&amp;8 Day'!$R35+Fuel2ShrbyTech!L23/'Inputs 7&amp;8 Day'!$X35))</f>
        <v>1</v>
      </c>
      <c r="M22" s="1358">
        <f>IF('Mkt Pen Veh-Mi'!M22=0,1,1/((1-Fuel2ShrbyTech!M23)/'Inputs 7&amp;8 Day'!$S35+Fuel2ShrbyTech!M23/'Inputs 7&amp;8 Day'!$Y35))</f>
        <v>1</v>
      </c>
      <c r="N22" s="1356">
        <f>IF('Mkt Pen Veh-Mi'!N22=0,1,1/((1-Fuel2ShrbyTech!N23)/'Inputs 7&amp;8 SU'!$N35+Fuel2ShrbyTech!N23/'Inputs 7&amp;8 SU'!$T35))</f>
        <v>6.5975340734693528</v>
      </c>
      <c r="O22" s="1357">
        <f>IF('Mkt Pen Veh-Mi'!O22=0,1,1/((1-Fuel2ShrbyTech!O23)/'Inputs 7&amp;8 SU'!$O35+Fuel2ShrbyTech!O23/'Inputs 7&amp;8 SU'!$U35))</f>
        <v>1</v>
      </c>
      <c r="P22" s="1357">
        <f>IF('Mkt Pen Veh-Mi'!P22=0,1,1/((1-Fuel2ShrbyTech!P23)/'Inputs 7&amp;8 SU'!$P35+Fuel2ShrbyTech!P23/'Inputs 7&amp;8 SU'!$V35))</f>
        <v>1</v>
      </c>
      <c r="Q22" s="1357">
        <f>IF('Mkt Pen Veh-Mi'!Q22=0,1,1/((1-Fuel2ShrbyTech!Q23)/'Inputs 7&amp;8 SU'!$Q35+Fuel2ShrbyTech!Q23/'Inputs 7&amp;8 SU'!$W35))</f>
        <v>1</v>
      </c>
      <c r="R22" s="1357">
        <f>IF('Mkt Pen Veh-Mi'!R22=0,1,1/((1-Fuel2ShrbyTech!R23)/'Inputs 7&amp;8 SU'!$R35+Fuel2ShrbyTech!R23/'Inputs 7&amp;8 SU'!$X35))</f>
        <v>1</v>
      </c>
      <c r="S22" s="1358">
        <f>IF('Mkt Pen Veh-Mi'!S22=0,1,1/((1-Fuel2ShrbyTech!S23)/'Inputs 7&amp;8 SU'!$S35+Fuel2ShrbyTech!S23/'Inputs 7&amp;8 SU'!$Y35))</f>
        <v>1</v>
      </c>
      <c r="U22" s="1305">
        <f t="shared" si="13"/>
        <v>2020</v>
      </c>
      <c r="V22" s="1356">
        <f t="shared" si="14"/>
        <v>7.2892680928012563</v>
      </c>
      <c r="W22" s="1357">
        <f t="shared" si="15"/>
        <v>0</v>
      </c>
      <c r="X22" s="1357">
        <f t="shared" si="16"/>
        <v>0</v>
      </c>
      <c r="Y22" s="1357">
        <f t="shared" si="17"/>
        <v>0</v>
      </c>
      <c r="Z22" s="1357">
        <f t="shared" si="18"/>
        <v>0</v>
      </c>
      <c r="AA22" s="1358">
        <f t="shared" si="19"/>
        <v>0</v>
      </c>
      <c r="AB22" s="1356">
        <f t="shared" si="20"/>
        <v>6.5740785776431485</v>
      </c>
      <c r="AC22" s="1357">
        <f t="shared" si="21"/>
        <v>0</v>
      </c>
      <c r="AD22" s="1357">
        <f t="shared" si="22"/>
        <v>0</v>
      </c>
      <c r="AE22" s="1357">
        <f t="shared" si="23"/>
        <v>0</v>
      </c>
      <c r="AF22" s="1357">
        <f t="shared" si="24"/>
        <v>0</v>
      </c>
      <c r="AG22" s="1358">
        <f t="shared" si="25"/>
        <v>0</v>
      </c>
      <c r="AH22" s="1356">
        <f t="shared" si="26"/>
        <v>6.5975340734693528</v>
      </c>
      <c r="AI22" s="1357">
        <f t="shared" si="27"/>
        <v>0</v>
      </c>
      <c r="AJ22" s="1357">
        <f t="shared" si="28"/>
        <v>0</v>
      </c>
      <c r="AK22" s="1357">
        <f t="shared" si="29"/>
        <v>0</v>
      </c>
      <c r="AL22" s="1357">
        <f t="shared" si="30"/>
        <v>0</v>
      </c>
      <c r="AM22" s="1358">
        <f t="shared" si="31"/>
        <v>0</v>
      </c>
      <c r="AN22" s="1284">
        <v>2020</v>
      </c>
      <c r="AO22" s="1435">
        <f t="array" ref="AO22">1/SUMPRODUCT(IFERROR(1/V22:AA22,0),'Mkt Pen Veh-Mi'!B22:G22)</f>
        <v>7.2892680928012563</v>
      </c>
      <c r="AP22" s="1436">
        <f t="array" ref="AP22">1/SUMPRODUCT(IFERROR(1/AB22:AG22,0),'Mkt Pen Veh-Mi'!H22:M22)</f>
        <v>6.5740785776431485</v>
      </c>
      <c r="AQ22" s="1440">
        <f t="array" ref="AQ22">1/SUMPRODUCT(IFERROR(1/AH22:AM22,0),'Mkt Pen Veh-Mi'!N22:S22)</f>
        <v>6.5975340734693528</v>
      </c>
      <c r="AR22" s="1433">
        <v>2020</v>
      </c>
      <c r="AS22" s="1435">
        <f t="shared" si="32"/>
        <v>1</v>
      </c>
      <c r="AT22" s="1436">
        <f t="shared" si="33"/>
        <v>1</v>
      </c>
      <c r="AU22" s="1436">
        <f t="shared" si="34"/>
        <v>1</v>
      </c>
      <c r="AV22" s="1440">
        <v>1</v>
      </c>
    </row>
    <row r="23" spans="1:48" s="1284" customFormat="1" ht="15" x14ac:dyDescent="0.25">
      <c r="A23" s="1299">
        <v>2021</v>
      </c>
      <c r="B23" s="1359">
        <f>IF('Mkt Pen Veh-Mi'!B23=0,1,1/((1-Fuel2ShrbyTech!B24)/'Inputs 7&amp;8 Sleep'!$N36+Fuel2ShrbyTech!B24/'Inputs 7&amp;8 Sleep'!$T36))</f>
        <v>7.295170630607748</v>
      </c>
      <c r="C23" s="1360">
        <f>IF('Mkt Pen Veh-Mi'!C23=0,1,1/((1-Fuel2ShrbyTech!C24)/'Inputs 7&amp;8 Sleep'!$O36+Fuel2ShrbyTech!C24/'Inputs 7&amp;8 Sleep'!$U36))</f>
        <v>7.4306431447953871</v>
      </c>
      <c r="D23" s="1360">
        <f>IF('Mkt Pen Veh-Mi'!D23=0,1,1/((1-Fuel2ShrbyTech!D24)/'Inputs 7&amp;8 Sleep'!$P36+Fuel2ShrbyTech!D24/'Inputs 7&amp;8 Sleep'!$V36))</f>
        <v>7.4662642394427658</v>
      </c>
      <c r="E23" s="1360">
        <f>IF('Mkt Pen Veh-Mi'!E23=0,1,1/((1-Fuel2ShrbyTech!E24)/'Inputs 7&amp;8 Sleep'!$Q36+Fuel2ShrbyTech!E24/'Inputs 7&amp;8 Sleep'!$W36))</f>
        <v>1</v>
      </c>
      <c r="F23" s="1360">
        <f>IF('Mkt Pen Veh-Mi'!F23=0,1,1/((1-Fuel2ShrbyTech!F24)/'Inputs 7&amp;8 Sleep'!$R36+Fuel2ShrbyTech!F24/'Inputs 7&amp;8 Sleep'!$X36))</f>
        <v>1</v>
      </c>
      <c r="G23" s="1361">
        <f>IF('Mkt Pen Veh-Mi'!G23=0,1,1/((1-Fuel2ShrbyTech!G24)/'Inputs 7&amp;8 Sleep'!$S36+Fuel2ShrbyTech!G24/'Inputs 7&amp;8 Sleep'!$Y36))</f>
        <v>1</v>
      </c>
      <c r="H23" s="1359">
        <f>IF('Mkt Pen Veh-Mi'!H23=0,1,1/((1-Fuel2ShrbyTech!H24)/'Inputs 7&amp;8 Day'!$N36+Fuel2ShrbyTech!H24/'Inputs 7&amp;8 Day'!$T36))</f>
        <v>6.5897255681426605</v>
      </c>
      <c r="I23" s="1360">
        <f>IF('Mkt Pen Veh-Mi'!I23=0,1,1/((1-Fuel2ShrbyTech!I24)/'Inputs 7&amp;8 Day'!$O36+Fuel2ShrbyTech!I24/'Inputs 7&amp;8 Day'!$U36))</f>
        <v>6.7242512479581897</v>
      </c>
      <c r="J23" s="1360">
        <f>IF('Mkt Pen Veh-Mi'!J23=0,1,1/((1-Fuel2ShrbyTech!J24)/'Inputs 7&amp;8 Day'!$P36+Fuel2ShrbyTech!J24/'Inputs 7&amp;8 Day'!$V36))</f>
        <v>6.7288896628175774</v>
      </c>
      <c r="K23" s="1360">
        <f>IF('Mkt Pen Veh-Mi'!K23=0,1,1/((1-Fuel2ShrbyTech!K24)/'Inputs 7&amp;8 Day'!$Q36+Fuel2ShrbyTech!K24/'Inputs 7&amp;8 Day'!$W36))</f>
        <v>1</v>
      </c>
      <c r="L23" s="1360">
        <f>IF('Mkt Pen Veh-Mi'!L23=0,1,1/((1-Fuel2ShrbyTech!L24)/'Inputs 7&amp;8 Day'!$R36+Fuel2ShrbyTech!L24/'Inputs 7&amp;8 Day'!$X36))</f>
        <v>1</v>
      </c>
      <c r="M23" s="1361">
        <f>IF('Mkt Pen Veh-Mi'!M23=0,1,1/((1-Fuel2ShrbyTech!M24)/'Inputs 7&amp;8 Day'!$S36+Fuel2ShrbyTech!M24/'Inputs 7&amp;8 Day'!$Y36))</f>
        <v>1</v>
      </c>
      <c r="N23" s="1359">
        <f>IF('Mkt Pen Veh-Mi'!N23=0,1,1/((1-Fuel2ShrbyTech!N24)/'Inputs 7&amp;8 SU'!$N36+Fuel2ShrbyTech!N24/'Inputs 7&amp;8 SU'!$T36))</f>
        <v>6.8286373326560339</v>
      </c>
      <c r="O23" s="1360">
        <f>IF('Mkt Pen Veh-Mi'!O23=0,1,1/((1-Fuel2ShrbyTech!O24)/'Inputs 7&amp;8 SU'!$O36+Fuel2ShrbyTech!O24/'Inputs 7&amp;8 SU'!$U36))</f>
        <v>1</v>
      </c>
      <c r="P23" s="1360">
        <f>IF('Mkt Pen Veh-Mi'!P23=0,1,1/((1-Fuel2ShrbyTech!P24)/'Inputs 7&amp;8 SU'!$P36+Fuel2ShrbyTech!P24/'Inputs 7&amp;8 SU'!$V36))</f>
        <v>1</v>
      </c>
      <c r="Q23" s="1360">
        <f>IF('Mkt Pen Veh-Mi'!Q23=0,1,1/((1-Fuel2ShrbyTech!Q24)/'Inputs 7&amp;8 SU'!$Q36+Fuel2ShrbyTech!Q24/'Inputs 7&amp;8 SU'!$W36))</f>
        <v>1</v>
      </c>
      <c r="R23" s="1360">
        <f>IF('Mkt Pen Veh-Mi'!R23=0,1,1/((1-Fuel2ShrbyTech!R24)/'Inputs 7&amp;8 SU'!$R36+Fuel2ShrbyTech!R24/'Inputs 7&amp;8 SU'!$X36))</f>
        <v>1</v>
      </c>
      <c r="S23" s="1361">
        <f>IF('Mkt Pen Veh-Mi'!S23=0,1,1/((1-Fuel2ShrbyTech!S24)/'Inputs 7&amp;8 SU'!$S36+Fuel2ShrbyTech!S24/'Inputs 7&amp;8 SU'!$Y36))</f>
        <v>1</v>
      </c>
      <c r="U23" s="1299">
        <f t="shared" si="13"/>
        <v>2021</v>
      </c>
      <c r="V23" s="1359">
        <f t="shared" si="14"/>
        <v>7.295170630607748</v>
      </c>
      <c r="W23" s="1360">
        <f t="shared" si="15"/>
        <v>7.4306431447953871</v>
      </c>
      <c r="X23" s="1360">
        <f t="shared" si="16"/>
        <v>7.4662642394427658</v>
      </c>
      <c r="Y23" s="1360">
        <f t="shared" si="17"/>
        <v>0</v>
      </c>
      <c r="Z23" s="1360">
        <f t="shared" si="18"/>
        <v>0</v>
      </c>
      <c r="AA23" s="1361">
        <f t="shared" si="19"/>
        <v>0</v>
      </c>
      <c r="AB23" s="1359">
        <f t="shared" si="20"/>
        <v>6.5897255681426605</v>
      </c>
      <c r="AC23" s="1360">
        <f t="shared" si="21"/>
        <v>6.7242512479581897</v>
      </c>
      <c r="AD23" s="1360">
        <f t="shared" si="22"/>
        <v>6.7288896628175774</v>
      </c>
      <c r="AE23" s="1360">
        <f t="shared" si="23"/>
        <v>0</v>
      </c>
      <c r="AF23" s="1360">
        <f t="shared" si="24"/>
        <v>0</v>
      </c>
      <c r="AG23" s="1361">
        <f t="shared" si="25"/>
        <v>0</v>
      </c>
      <c r="AH23" s="1359">
        <f t="shared" si="26"/>
        <v>6.8286373326560339</v>
      </c>
      <c r="AI23" s="1360">
        <f t="shared" si="27"/>
        <v>0</v>
      </c>
      <c r="AJ23" s="1360">
        <f t="shared" si="28"/>
        <v>0</v>
      </c>
      <c r="AK23" s="1360">
        <f t="shared" si="29"/>
        <v>0</v>
      </c>
      <c r="AL23" s="1360">
        <f t="shared" si="30"/>
        <v>0</v>
      </c>
      <c r="AM23" s="1361">
        <f t="shared" si="31"/>
        <v>0</v>
      </c>
      <c r="AN23" s="1284">
        <v>2021</v>
      </c>
      <c r="AO23" s="1435">
        <f t="array" ref="AO23">1/SUMPRODUCT(IFERROR(1/V23:AA23,0),'Mkt Pen Veh-Mi'!B23:G23)</f>
        <v>7.301723940391823</v>
      </c>
      <c r="AP23" s="1436">
        <f t="array" ref="AP23">1/SUMPRODUCT(IFERROR(1/AB23:AG23,0),'Mkt Pen Veh-Mi'!H23:M23)</f>
        <v>6.5947184434480013</v>
      </c>
      <c r="AQ23" s="1440">
        <f t="array" ref="AQ23">1/SUMPRODUCT(IFERROR(1/AH23:AM23,0),'Mkt Pen Veh-Mi'!N23:S23)</f>
        <v>6.8286373326560339</v>
      </c>
      <c r="AR23" s="1433">
        <v>2021</v>
      </c>
      <c r="AS23" s="1435">
        <f t="shared" si="32"/>
        <v>1.0008983079513698</v>
      </c>
      <c r="AT23" s="1436">
        <f t="shared" si="33"/>
        <v>1.0007576757565564</v>
      </c>
      <c r="AU23" s="1436">
        <f t="shared" si="34"/>
        <v>1</v>
      </c>
      <c r="AV23" s="1440">
        <v>1.0014357770328348</v>
      </c>
    </row>
    <row r="24" spans="1:48" s="1284" customFormat="1" ht="15" x14ac:dyDescent="0.25">
      <c r="A24" s="1299">
        <v>2022</v>
      </c>
      <c r="B24" s="1353">
        <f>IF('Mkt Pen Veh-Mi'!B24=0,1,1/((1-Fuel2ShrbyTech!B25)/'Inputs 7&amp;8 Sleep'!$N37+Fuel2ShrbyTech!B25/'Inputs 7&amp;8 Sleep'!$T37))</f>
        <v>7.387146020152362</v>
      </c>
      <c r="C24" s="1354">
        <f>IF('Mkt Pen Veh-Mi'!C24=0,1,1/((1-Fuel2ShrbyTech!C25)/'Inputs 7&amp;8 Sleep'!$O37+Fuel2ShrbyTech!C25/'Inputs 7&amp;8 Sleep'!$U37))</f>
        <v>7.6566139892462131</v>
      </c>
      <c r="D24" s="1354">
        <f>IF('Mkt Pen Veh-Mi'!D24=0,1,1/((1-Fuel2ShrbyTech!D25)/'Inputs 7&amp;8 Sleep'!$P37+Fuel2ShrbyTech!D25/'Inputs 7&amp;8 Sleep'!$V37))</f>
        <v>7.6945097976908094</v>
      </c>
      <c r="E24" s="1354">
        <f>IF('Mkt Pen Veh-Mi'!E24=0,1,1/((1-Fuel2ShrbyTech!E25)/'Inputs 7&amp;8 Sleep'!$Q37+Fuel2ShrbyTech!E25/'Inputs 7&amp;8 Sleep'!$W37))</f>
        <v>7.5823952011213311</v>
      </c>
      <c r="F24" s="1354">
        <f>IF('Mkt Pen Veh-Mi'!F24=0,1,1/((1-Fuel2ShrbyTech!F25)/'Inputs 7&amp;8 Sleep'!$R37+Fuel2ShrbyTech!F25/'Inputs 7&amp;8 Sleep'!$X37))</f>
        <v>1</v>
      </c>
      <c r="G24" s="1355">
        <f>IF('Mkt Pen Veh-Mi'!G24=0,1,1/((1-Fuel2ShrbyTech!G25)/'Inputs 7&amp;8 Sleep'!$S37+Fuel2ShrbyTech!G25/'Inputs 7&amp;8 Sleep'!$Y37))</f>
        <v>1</v>
      </c>
      <c r="H24" s="1353">
        <f>IF('Mkt Pen Veh-Mi'!H24=0,1,1/((1-Fuel2ShrbyTech!H25)/'Inputs 7&amp;8 Day'!$N37+Fuel2ShrbyTech!H25/'Inputs 7&amp;8 Day'!$T37))</f>
        <v>6.6793678527599676</v>
      </c>
      <c r="I24" s="1354">
        <f>IF('Mkt Pen Veh-Mi'!I24=0,1,1/((1-Fuel2ShrbyTech!I25)/'Inputs 7&amp;8 Day'!$O37+Fuel2ShrbyTech!I25/'Inputs 7&amp;8 Day'!$U37))</f>
        <v>6.9470633713873422</v>
      </c>
      <c r="J24" s="1354">
        <f>IF('Mkt Pen Veh-Mi'!J24=0,1,1/((1-Fuel2ShrbyTech!J25)/'Inputs 7&amp;8 Day'!$P37+Fuel2ShrbyTech!J25/'Inputs 7&amp;8 Day'!$V37))</f>
        <v>6.9567267546333849</v>
      </c>
      <c r="K24" s="1354">
        <f>IF('Mkt Pen Veh-Mi'!K24=0,1,1/((1-Fuel2ShrbyTech!K25)/'Inputs 7&amp;8 Day'!$Q37+Fuel2ShrbyTech!K25/'Inputs 7&amp;8 Day'!$W37))</f>
        <v>1</v>
      </c>
      <c r="L24" s="1354">
        <f>IF('Mkt Pen Veh-Mi'!L24=0,1,1/((1-Fuel2ShrbyTech!L25)/'Inputs 7&amp;8 Day'!$R37+Fuel2ShrbyTech!L25/'Inputs 7&amp;8 Day'!$X37))</f>
        <v>1</v>
      </c>
      <c r="M24" s="1355">
        <f>IF('Mkt Pen Veh-Mi'!M24=0,1,1/((1-Fuel2ShrbyTech!M25)/'Inputs 7&amp;8 Day'!$S37+Fuel2ShrbyTech!M25/'Inputs 7&amp;8 Day'!$Y37))</f>
        <v>1</v>
      </c>
      <c r="N24" s="1353">
        <f>IF('Mkt Pen Veh-Mi'!N24=0,1,1/((1-Fuel2ShrbyTech!N25)/'Inputs 7&amp;8 SU'!$N37+Fuel2ShrbyTech!N25/'Inputs 7&amp;8 SU'!$T37))</f>
        <v>6.9737095451421931</v>
      </c>
      <c r="O24" s="1354">
        <f>IF('Mkt Pen Veh-Mi'!O24=0,1,1/((1-Fuel2ShrbyTech!O25)/'Inputs 7&amp;8 SU'!$O37+Fuel2ShrbyTech!O25/'Inputs 7&amp;8 SU'!$U37))</f>
        <v>7.2544666022328474</v>
      </c>
      <c r="P24" s="1354">
        <f>IF('Mkt Pen Veh-Mi'!P24=0,1,1/((1-Fuel2ShrbyTech!P25)/'Inputs 7&amp;8 SU'!$P37+Fuel2ShrbyTech!P25/'Inputs 7&amp;8 SU'!$V37))</f>
        <v>7.6518896391498439</v>
      </c>
      <c r="Q24" s="1354">
        <f>IF('Mkt Pen Veh-Mi'!Q24=0,1,1/((1-Fuel2ShrbyTech!Q25)/'Inputs 7&amp;8 SU'!$Q37+Fuel2ShrbyTech!Q25/'Inputs 7&amp;8 SU'!$W37))</f>
        <v>8.2538383274407092</v>
      </c>
      <c r="R24" s="1354">
        <f>IF('Mkt Pen Veh-Mi'!R24=0,1,1/((1-Fuel2ShrbyTech!R25)/'Inputs 7&amp;8 SU'!$R37+Fuel2ShrbyTech!R25/'Inputs 7&amp;8 SU'!$X37))</f>
        <v>1</v>
      </c>
      <c r="S24" s="1355">
        <f>IF('Mkt Pen Veh-Mi'!S24=0,1,1/((1-Fuel2ShrbyTech!S25)/'Inputs 7&amp;8 SU'!$S37+Fuel2ShrbyTech!S25/'Inputs 7&amp;8 SU'!$Y37))</f>
        <v>1</v>
      </c>
      <c r="U24" s="1299">
        <f t="shared" si="13"/>
        <v>2022</v>
      </c>
      <c r="V24" s="1353">
        <f t="shared" si="14"/>
        <v>7.387146020152362</v>
      </c>
      <c r="W24" s="1354">
        <f t="shared" si="15"/>
        <v>7.6566139892462131</v>
      </c>
      <c r="X24" s="1354">
        <f t="shared" si="16"/>
        <v>7.6945097976908094</v>
      </c>
      <c r="Y24" s="1354">
        <f t="shared" si="17"/>
        <v>7.5823952011213311</v>
      </c>
      <c r="Z24" s="1354">
        <f t="shared" si="18"/>
        <v>0</v>
      </c>
      <c r="AA24" s="1355">
        <f t="shared" si="19"/>
        <v>0</v>
      </c>
      <c r="AB24" s="1353">
        <f t="shared" si="20"/>
        <v>6.6793678527599676</v>
      </c>
      <c r="AC24" s="1354">
        <f t="shared" si="21"/>
        <v>6.9470633713873422</v>
      </c>
      <c r="AD24" s="1354">
        <f t="shared" si="22"/>
        <v>6.9567267546333849</v>
      </c>
      <c r="AE24" s="1354">
        <f t="shared" si="23"/>
        <v>0</v>
      </c>
      <c r="AF24" s="1354">
        <f t="shared" si="24"/>
        <v>0</v>
      </c>
      <c r="AG24" s="1355">
        <f t="shared" si="25"/>
        <v>0</v>
      </c>
      <c r="AH24" s="1353">
        <f t="shared" si="26"/>
        <v>6.9737095451421931</v>
      </c>
      <c r="AI24" s="1354">
        <f t="shared" si="27"/>
        <v>7.2544666022328474</v>
      </c>
      <c r="AJ24" s="1354">
        <f t="shared" si="28"/>
        <v>7.6518896391498439</v>
      </c>
      <c r="AK24" s="1354">
        <f t="shared" si="29"/>
        <v>8.2538383274407092</v>
      </c>
      <c r="AL24" s="1354">
        <f t="shared" si="30"/>
        <v>0</v>
      </c>
      <c r="AM24" s="1355">
        <f t="shared" si="31"/>
        <v>0</v>
      </c>
      <c r="AN24" s="1284">
        <v>2022</v>
      </c>
      <c r="AO24" s="1435">
        <f t="array" ref="AO24">1/SUMPRODUCT(IFERROR(1/V24:AA24,0),'Mkt Pen Veh-Mi'!B24:G24)</f>
        <v>7.4181135610269981</v>
      </c>
      <c r="AP24" s="1436">
        <f t="array" ref="AP24">1/SUMPRODUCT(IFERROR(1/AB24:AG24,0),'Mkt Pen Veh-Mi'!H24:M24)</f>
        <v>6.7033190041214006</v>
      </c>
      <c r="AQ24" s="1440">
        <f t="array" ref="AQ24">1/SUMPRODUCT(IFERROR(1/AH24:AM24,0),'Mkt Pen Veh-Mi'!N24:S24)</f>
        <v>6.9893627514651904</v>
      </c>
      <c r="AR24" s="1433">
        <v>2022</v>
      </c>
      <c r="AS24" s="1435">
        <f t="shared" si="32"/>
        <v>1.0041920845736845</v>
      </c>
      <c r="AT24" s="1436">
        <f t="shared" si="33"/>
        <v>1.0035858410390641</v>
      </c>
      <c r="AU24" s="1436">
        <f t="shared" si="34"/>
        <v>1.0022446025636242</v>
      </c>
      <c r="AV24" s="1440">
        <v>1.0062505931411208</v>
      </c>
    </row>
    <row r="25" spans="1:48" s="1284" customFormat="1" ht="15" x14ac:dyDescent="0.25">
      <c r="A25" s="1299">
        <v>2023</v>
      </c>
      <c r="B25" s="1353">
        <f>IF('Mkt Pen Veh-Mi'!B25=0,1,1/((1-Fuel2ShrbyTech!B26)/'Inputs 7&amp;8 Sleep'!$N38+Fuel2ShrbyTech!B26/'Inputs 7&amp;8 Sleep'!$T38))</f>
        <v>7.4855391580542259</v>
      </c>
      <c r="C25" s="1354">
        <f>IF('Mkt Pen Veh-Mi'!C25=0,1,1/((1-Fuel2ShrbyTech!C26)/'Inputs 7&amp;8 Sleep'!$O38+Fuel2ShrbyTech!C26/'Inputs 7&amp;8 Sleep'!$U38))</f>
        <v>7.8879481718384019</v>
      </c>
      <c r="D25" s="1354">
        <f>IF('Mkt Pen Veh-Mi'!D25=0,1,1/((1-Fuel2ShrbyTech!D26)/'Inputs 7&amp;8 Sleep'!$P38+Fuel2ShrbyTech!D26/'Inputs 7&amp;8 Sleep'!$V38))</f>
        <v>7.9281338349304171</v>
      </c>
      <c r="E25" s="1354">
        <f>IF('Mkt Pen Veh-Mi'!E25=0,1,1/((1-Fuel2ShrbyTech!E26)/'Inputs 7&amp;8 Sleep'!$Q38+Fuel2ShrbyTech!E26/'Inputs 7&amp;8 Sleep'!$W38))</f>
        <v>7.8324309497015614</v>
      </c>
      <c r="F25" s="1354">
        <f>IF('Mkt Pen Veh-Mi'!F25=0,1,1/((1-Fuel2ShrbyTech!F26)/'Inputs 7&amp;8 Sleep'!$R38+Fuel2ShrbyTech!F26/'Inputs 7&amp;8 Sleep'!$X38))</f>
        <v>1</v>
      </c>
      <c r="G25" s="1355">
        <f>IF('Mkt Pen Veh-Mi'!G25=0,1,1/((1-Fuel2ShrbyTech!G26)/'Inputs 7&amp;8 Sleep'!$S38+Fuel2ShrbyTech!G26/'Inputs 7&amp;8 Sleep'!$Y38))</f>
        <v>1</v>
      </c>
      <c r="H25" s="1353">
        <f>IF('Mkt Pen Veh-Mi'!H25=0,1,1/((1-Fuel2ShrbyTech!H26)/'Inputs 7&amp;8 Day'!$N38+Fuel2ShrbyTech!H26/'Inputs 7&amp;8 Day'!$T38))</f>
        <v>6.7614243906851943</v>
      </c>
      <c r="I25" s="1354">
        <f>IF('Mkt Pen Veh-Mi'!I25=0,1,1/((1-Fuel2ShrbyTech!I26)/'Inputs 7&amp;8 Day'!$O38+Fuel2ShrbyTech!I26/'Inputs 7&amp;8 Day'!$U38))</f>
        <v>7.1605595718966653</v>
      </c>
      <c r="J25" s="1354">
        <f>IF('Mkt Pen Veh-Mi'!J25=0,1,1/((1-Fuel2ShrbyTech!J26)/'Inputs 7&amp;8 Day'!$P38+Fuel2ShrbyTech!J26/'Inputs 7&amp;8 Day'!$V38))</f>
        <v>7.1751830703247723</v>
      </c>
      <c r="K25" s="1354">
        <f>IF('Mkt Pen Veh-Mi'!K25=0,1,1/((1-Fuel2ShrbyTech!K26)/'Inputs 7&amp;8 Day'!$Q38+Fuel2ShrbyTech!K26/'Inputs 7&amp;8 Day'!$W38))</f>
        <v>1</v>
      </c>
      <c r="L25" s="1354">
        <f>IF('Mkt Pen Veh-Mi'!L25=0,1,1/((1-Fuel2ShrbyTech!L26)/'Inputs 7&amp;8 Day'!$R38+Fuel2ShrbyTech!L26/'Inputs 7&amp;8 Day'!$X38))</f>
        <v>1</v>
      </c>
      <c r="M25" s="1355">
        <f>IF('Mkt Pen Veh-Mi'!M25=0,1,1/((1-Fuel2ShrbyTech!M26)/'Inputs 7&amp;8 Day'!$S38+Fuel2ShrbyTech!M26/'Inputs 7&amp;8 Day'!$Y38))</f>
        <v>1</v>
      </c>
      <c r="N25" s="1353">
        <f>IF('Mkt Pen Veh-Mi'!N25=0,1,1/((1-Fuel2ShrbyTech!N26)/'Inputs 7&amp;8 SU'!$N38+Fuel2ShrbyTech!N26/'Inputs 7&amp;8 SU'!$T38))</f>
        <v>7.1145988854730335</v>
      </c>
      <c r="O25" s="1354">
        <f>IF('Mkt Pen Veh-Mi'!O25=0,1,1/((1-Fuel2ShrbyTech!O26)/'Inputs 7&amp;8 SU'!$O38+Fuel2ShrbyTech!O26/'Inputs 7&amp;8 SU'!$U38))</f>
        <v>7.5392218166373439</v>
      </c>
      <c r="P25" s="1354">
        <f>IF('Mkt Pen Veh-Mi'!P25=0,1,1/((1-Fuel2ShrbyTech!P26)/'Inputs 7&amp;8 SU'!$P38+Fuel2ShrbyTech!P26/'Inputs 7&amp;8 SU'!$V38))</f>
        <v>7.9580735243624048</v>
      </c>
      <c r="Q25" s="1354">
        <f>IF('Mkt Pen Veh-Mi'!Q25=0,1,1/((1-Fuel2ShrbyTech!Q26)/'Inputs 7&amp;8 SU'!$Q38+Fuel2ShrbyTech!Q26/'Inputs 7&amp;8 SU'!$W38))</f>
        <v>8.5761748131235418</v>
      </c>
      <c r="R25" s="1354">
        <f>IF('Mkt Pen Veh-Mi'!R25=0,1,1/((1-Fuel2ShrbyTech!R26)/'Inputs 7&amp;8 SU'!$R38+Fuel2ShrbyTech!R26/'Inputs 7&amp;8 SU'!$X38))</f>
        <v>1</v>
      </c>
      <c r="S25" s="1355">
        <f>IF('Mkt Pen Veh-Mi'!S25=0,1,1/((1-Fuel2ShrbyTech!S26)/'Inputs 7&amp;8 SU'!$S38+Fuel2ShrbyTech!S26/'Inputs 7&amp;8 SU'!$Y38))</f>
        <v>1</v>
      </c>
      <c r="U25" s="1299">
        <f t="shared" si="13"/>
        <v>2023</v>
      </c>
      <c r="V25" s="1353">
        <f t="shared" si="14"/>
        <v>7.4855391580542259</v>
      </c>
      <c r="W25" s="1354">
        <f t="shared" si="15"/>
        <v>7.8879481718384019</v>
      </c>
      <c r="X25" s="1354">
        <f t="shared" si="16"/>
        <v>7.9281338349304171</v>
      </c>
      <c r="Y25" s="1354">
        <f t="shared" si="17"/>
        <v>7.8324309497015614</v>
      </c>
      <c r="Z25" s="1354">
        <f t="shared" si="18"/>
        <v>0</v>
      </c>
      <c r="AA25" s="1355">
        <f t="shared" si="19"/>
        <v>0</v>
      </c>
      <c r="AB25" s="1353">
        <f t="shared" si="20"/>
        <v>6.7614243906851943</v>
      </c>
      <c r="AC25" s="1354">
        <f t="shared" si="21"/>
        <v>7.1605595718966653</v>
      </c>
      <c r="AD25" s="1354">
        <f t="shared" si="22"/>
        <v>7.1751830703247723</v>
      </c>
      <c r="AE25" s="1354">
        <f t="shared" si="23"/>
        <v>0</v>
      </c>
      <c r="AF25" s="1354">
        <f t="shared" si="24"/>
        <v>0</v>
      </c>
      <c r="AG25" s="1355">
        <f t="shared" si="25"/>
        <v>0</v>
      </c>
      <c r="AH25" s="1353">
        <f t="shared" si="26"/>
        <v>7.1145988854730335</v>
      </c>
      <c r="AI25" s="1354">
        <f t="shared" si="27"/>
        <v>7.5392218166373439</v>
      </c>
      <c r="AJ25" s="1354">
        <f t="shared" si="28"/>
        <v>7.9580735243624048</v>
      </c>
      <c r="AK25" s="1354">
        <f t="shared" si="29"/>
        <v>8.5761748131235418</v>
      </c>
      <c r="AL25" s="1354">
        <f t="shared" si="30"/>
        <v>0</v>
      </c>
      <c r="AM25" s="1355">
        <f t="shared" si="31"/>
        <v>0</v>
      </c>
      <c r="AN25" s="1284">
        <v>2023</v>
      </c>
      <c r="AO25" s="1435">
        <f t="array" ref="AO25">1/SUMPRODUCT(IFERROR(1/V25:AA25,0),'Mkt Pen Veh-Mi'!B25:G25)</f>
        <v>7.5869687477366945</v>
      </c>
      <c r="AP25" s="1436">
        <f t="array" ref="AP25">1/SUMPRODUCT(IFERROR(1/AB25:AG25,0),'Mkt Pen Veh-Mi'!H25:M25)</f>
        <v>6.8380410928024915</v>
      </c>
      <c r="AQ25" s="1440">
        <f t="array" ref="AQ25">1/SUMPRODUCT(IFERROR(1/AH25:AM25,0),'Mkt Pen Veh-Mi'!N25:S25)</f>
        <v>7.1640483879603973</v>
      </c>
      <c r="AR25" s="1433">
        <v>2023</v>
      </c>
      <c r="AS25" s="1435">
        <f t="shared" si="32"/>
        <v>1.0135500713496814</v>
      </c>
      <c r="AT25" s="1436">
        <f t="shared" si="33"/>
        <v>1.0113314440405261</v>
      </c>
      <c r="AU25" s="1436">
        <f t="shared" si="34"/>
        <v>1.006950427323223</v>
      </c>
      <c r="AV25" s="1440">
        <v>1.0208046069018777</v>
      </c>
    </row>
    <row r="26" spans="1:48" s="1284" customFormat="1" ht="15" x14ac:dyDescent="0.25">
      <c r="A26" s="1299">
        <v>2024</v>
      </c>
      <c r="B26" s="1353">
        <f>IF('Mkt Pen Veh-Mi'!B26=0,1,1/((1-Fuel2ShrbyTech!B27)/'Inputs 7&amp;8 Sleep'!$N39+Fuel2ShrbyTech!B27/'Inputs 7&amp;8 Sleep'!$T39))</f>
        <v>7.6353712468712818</v>
      </c>
      <c r="C26" s="1354">
        <f>IF('Mkt Pen Veh-Mi'!C26=0,1,1/((1-Fuel2ShrbyTech!C27)/'Inputs 7&amp;8 Sleep'!$O39+Fuel2ShrbyTech!C27/'Inputs 7&amp;8 Sleep'!$U39))</f>
        <v>8.1732318732443314</v>
      </c>
      <c r="D26" s="1354">
        <f>IF('Mkt Pen Veh-Mi'!D26=0,1,1/((1-Fuel2ShrbyTech!D27)/'Inputs 7&amp;8 Sleep'!$P39+Fuel2ShrbyTech!D27/'Inputs 7&amp;8 Sleep'!$V39))</f>
        <v>8.2159800229668551</v>
      </c>
      <c r="E26" s="1354">
        <f>IF('Mkt Pen Veh-Mi'!E26=0,1,1/((1-Fuel2ShrbyTech!E27)/'Inputs 7&amp;8 Sleep'!$Q39+Fuel2ShrbyTech!E27/'Inputs 7&amp;8 Sleep'!$W39))</f>
        <v>8.1359959448482684</v>
      </c>
      <c r="F26" s="1354">
        <f>IF('Mkt Pen Veh-Mi'!F26=0,1,1/((1-Fuel2ShrbyTech!F27)/'Inputs 7&amp;8 Sleep'!$R39+Fuel2ShrbyTech!F27/'Inputs 7&amp;8 Sleep'!$X39))</f>
        <v>1</v>
      </c>
      <c r="G26" s="1355">
        <f>IF('Mkt Pen Veh-Mi'!G26=0,1,1/((1-Fuel2ShrbyTech!G27)/'Inputs 7&amp;8 Sleep'!$S39+Fuel2ShrbyTech!G27/'Inputs 7&amp;8 Sleep'!$Y39))</f>
        <v>1</v>
      </c>
      <c r="H26" s="1353">
        <f>IF('Mkt Pen Veh-Mi'!H26=0,1,1/((1-Fuel2ShrbyTech!H27)/'Inputs 7&amp;8 Day'!$N39+Fuel2ShrbyTech!H27/'Inputs 7&amp;8 Day'!$T39))</f>
        <v>6.8703948220978024</v>
      </c>
      <c r="I26" s="1354">
        <f>IF('Mkt Pen Veh-Mi'!I26=0,1,1/((1-Fuel2ShrbyTech!I27)/'Inputs 7&amp;8 Day'!$O39+Fuel2ShrbyTech!I27/'Inputs 7&amp;8 Day'!$U39))</f>
        <v>7.4015589541703397</v>
      </c>
      <c r="J26" s="1354">
        <f>IF('Mkt Pen Veh-Mi'!J26=0,1,1/((1-Fuel2ShrbyTech!J27)/'Inputs 7&amp;8 Day'!$P39+Fuel2ShrbyTech!J27/'Inputs 7&amp;8 Day'!$V39))</f>
        <v>7.4211630177941279</v>
      </c>
      <c r="K26" s="1354">
        <f>IF('Mkt Pen Veh-Mi'!K26=0,1,1/((1-Fuel2ShrbyTech!K27)/'Inputs 7&amp;8 Day'!$Q39+Fuel2ShrbyTech!K27/'Inputs 7&amp;8 Day'!$W39))</f>
        <v>1</v>
      </c>
      <c r="L26" s="1354">
        <f>IF('Mkt Pen Veh-Mi'!L26=0,1,1/((1-Fuel2ShrbyTech!L27)/'Inputs 7&amp;8 Day'!$R39+Fuel2ShrbyTech!L27/'Inputs 7&amp;8 Day'!$X39))</f>
        <v>1</v>
      </c>
      <c r="M26" s="1355">
        <f>IF('Mkt Pen Veh-Mi'!M26=0,1,1/((1-Fuel2ShrbyTech!M27)/'Inputs 7&amp;8 Day'!$S39+Fuel2ShrbyTech!M27/'Inputs 7&amp;8 Day'!$Y39))</f>
        <v>1</v>
      </c>
      <c r="N26" s="1353">
        <f>IF('Mkt Pen Veh-Mi'!N26=0,1,1/((1-Fuel2ShrbyTech!N27)/'Inputs 7&amp;8 SU'!$N39+Fuel2ShrbyTech!N27/'Inputs 7&amp;8 SU'!$T39))</f>
        <v>7.2611988927393023</v>
      </c>
      <c r="O26" s="1354">
        <f>IF('Mkt Pen Veh-Mi'!O26=0,1,1/((1-Fuel2ShrbyTech!O27)/'Inputs 7&amp;8 SU'!$O39+Fuel2ShrbyTech!O27/'Inputs 7&amp;8 SU'!$U39))</f>
        <v>7.8323543679898586</v>
      </c>
      <c r="P26" s="1354">
        <f>IF('Mkt Pen Veh-Mi'!P26=0,1,1/((1-Fuel2ShrbyTech!P27)/'Inputs 7&amp;8 SU'!$P39+Fuel2ShrbyTech!P27/'Inputs 7&amp;8 SU'!$V39))</f>
        <v>8.2731964640089828</v>
      </c>
      <c r="Q26" s="1354">
        <f>IF('Mkt Pen Veh-Mi'!Q26=0,1,1/((1-Fuel2ShrbyTech!Q27)/'Inputs 7&amp;8 SU'!$Q39+Fuel2ShrbyTech!Q27/'Inputs 7&amp;8 SU'!$W39))</f>
        <v>8.9080136615066419</v>
      </c>
      <c r="R26" s="1354">
        <f>IF('Mkt Pen Veh-Mi'!R26=0,1,1/((1-Fuel2ShrbyTech!R27)/'Inputs 7&amp;8 SU'!$R39+Fuel2ShrbyTech!R27/'Inputs 7&amp;8 SU'!$X39))</f>
        <v>1</v>
      </c>
      <c r="S26" s="1355">
        <f>IF('Mkt Pen Veh-Mi'!S26=0,1,1/((1-Fuel2ShrbyTech!S27)/'Inputs 7&amp;8 SU'!$S39+Fuel2ShrbyTech!S27/'Inputs 7&amp;8 SU'!$Y39))</f>
        <v>1</v>
      </c>
      <c r="U26" s="1299">
        <f t="shared" si="13"/>
        <v>2024</v>
      </c>
      <c r="V26" s="1353">
        <f t="shared" si="14"/>
        <v>7.6353712468712818</v>
      </c>
      <c r="W26" s="1354">
        <f t="shared" si="15"/>
        <v>8.1732318732443314</v>
      </c>
      <c r="X26" s="1354">
        <f t="shared" si="16"/>
        <v>8.2159800229668551</v>
      </c>
      <c r="Y26" s="1354">
        <f t="shared" si="17"/>
        <v>8.1359959448482684</v>
      </c>
      <c r="Z26" s="1354">
        <f t="shared" si="18"/>
        <v>0</v>
      </c>
      <c r="AA26" s="1355">
        <f t="shared" si="19"/>
        <v>0</v>
      </c>
      <c r="AB26" s="1353">
        <f t="shared" si="20"/>
        <v>6.8703948220978024</v>
      </c>
      <c r="AC26" s="1354">
        <f t="shared" si="21"/>
        <v>7.4015589541703397</v>
      </c>
      <c r="AD26" s="1354">
        <f t="shared" si="22"/>
        <v>7.4211630177941279</v>
      </c>
      <c r="AE26" s="1354">
        <f t="shared" si="23"/>
        <v>0</v>
      </c>
      <c r="AF26" s="1354">
        <f t="shared" si="24"/>
        <v>0</v>
      </c>
      <c r="AG26" s="1355">
        <f t="shared" si="25"/>
        <v>0</v>
      </c>
      <c r="AH26" s="1353">
        <f t="shared" si="26"/>
        <v>7.2611988927393023</v>
      </c>
      <c r="AI26" s="1354">
        <f t="shared" si="27"/>
        <v>7.8323543679898586</v>
      </c>
      <c r="AJ26" s="1354">
        <f t="shared" si="28"/>
        <v>8.2731964640089828</v>
      </c>
      <c r="AK26" s="1354">
        <f t="shared" si="29"/>
        <v>8.9080136615066419</v>
      </c>
      <c r="AL26" s="1354">
        <f t="shared" si="30"/>
        <v>0</v>
      </c>
      <c r="AM26" s="1355">
        <f t="shared" si="31"/>
        <v>0</v>
      </c>
      <c r="AN26" s="1284">
        <v>2024</v>
      </c>
      <c r="AO26" s="1435">
        <f t="array" ref="AO26">1/SUMPRODUCT(IFERROR(1/V26:AA26,0),'Mkt Pen Veh-Mi'!B26:G26)</f>
        <v>7.8831564198040063</v>
      </c>
      <c r="AP26" s="1436">
        <f t="array" ref="AP26">1/SUMPRODUCT(IFERROR(1/AB26:AG26,0),'Mkt Pen Veh-Mi'!H26:M26)</f>
        <v>7.0466661432300901</v>
      </c>
      <c r="AQ26" s="1440">
        <f t="array" ref="AQ26">1/SUMPRODUCT(IFERROR(1/AH26:AM26,0),'Mkt Pen Veh-Mi'!N26:S26)</f>
        <v>7.3869700123958344</v>
      </c>
      <c r="AR26" s="1433">
        <v>2024</v>
      </c>
      <c r="AS26" s="1435">
        <f t="shared" si="32"/>
        <v>1.0324522757206152</v>
      </c>
      <c r="AT26" s="1436">
        <f t="shared" si="33"/>
        <v>1.0256566508471001</v>
      </c>
      <c r="AU26" s="1436">
        <f t="shared" si="34"/>
        <v>1.0173209853516469</v>
      </c>
      <c r="AV26" s="1440">
        <v>1.0542395624100738</v>
      </c>
    </row>
    <row r="27" spans="1:48" s="1284" customFormat="1" ht="15" x14ac:dyDescent="0.25">
      <c r="A27" s="1305">
        <v>2025</v>
      </c>
      <c r="B27" s="1356">
        <f>IF('Mkt Pen Veh-Mi'!B27=0,1,1/((1-Fuel2ShrbyTech!B28)/'Inputs 7&amp;8 Sleep'!$N40+Fuel2ShrbyTech!B28/'Inputs 7&amp;8 Sleep'!$T40))</f>
        <v>7.8149715088268357</v>
      </c>
      <c r="C27" s="1357">
        <f>IF('Mkt Pen Veh-Mi'!C27=0,1,1/((1-Fuel2ShrbyTech!C28)/'Inputs 7&amp;8 Sleep'!$O40+Fuel2ShrbyTech!C28/'Inputs 7&amp;8 Sleep'!$U40))</f>
        <v>8.4914625569617606</v>
      </c>
      <c r="D27" s="1357">
        <f>IF('Mkt Pen Veh-Mi'!D27=0,1,1/((1-Fuel2ShrbyTech!D28)/'Inputs 7&amp;8 Sleep'!$P40+Fuel2ShrbyTech!D28/'Inputs 7&amp;8 Sleep'!$V40))</f>
        <v>8.5369547861630277</v>
      </c>
      <c r="E27" s="1357">
        <f>IF('Mkt Pen Veh-Mi'!E27=0,1,1/((1-Fuel2ShrbyTech!E28)/'Inputs 7&amp;8 Sleep'!$Q40+Fuel2ShrbyTech!E28/'Inputs 7&amp;8 Sleep'!$W40))</f>
        <v>8.4725274292654547</v>
      </c>
      <c r="F27" s="1357">
        <f>IF('Mkt Pen Veh-Mi'!F27=0,1,1/((1-Fuel2ShrbyTech!F28)/'Inputs 7&amp;8 Sleep'!$R40+Fuel2ShrbyTech!F28/'Inputs 7&amp;8 Sleep'!$X40))</f>
        <v>1</v>
      </c>
      <c r="G27" s="1358">
        <f>IF('Mkt Pen Veh-Mi'!G27=0,1,1/((1-Fuel2ShrbyTech!G28)/'Inputs 7&amp;8 Sleep'!$S40+Fuel2ShrbyTech!G28/'Inputs 7&amp;8 Sleep'!$Y40))</f>
        <v>1</v>
      </c>
      <c r="H27" s="1356">
        <f>IF('Mkt Pen Veh-Mi'!H27=0,1,1/((1-Fuel2ShrbyTech!H28)/'Inputs 7&amp;8 Day'!$N40+Fuel2ShrbyTech!H28/'Inputs 7&amp;8 Day'!$T40))</f>
        <v>6.9844806078855131</v>
      </c>
      <c r="I27" s="1357">
        <f>IF('Mkt Pen Veh-Mi'!I27=0,1,1/((1-Fuel2ShrbyTech!I28)/'Inputs 7&amp;8 Day'!$O40+Fuel2ShrbyTech!I28/'Inputs 7&amp;8 Day'!$U40))</f>
        <v>7.6476956459691987</v>
      </c>
      <c r="J27" s="1357">
        <f>IF('Mkt Pen Veh-Mi'!J27=0,1,1/((1-Fuel2ShrbyTech!J28)/'Inputs 7&amp;8 Day'!$P40+Fuel2ShrbyTech!J28/'Inputs 7&amp;8 Day'!$V40))</f>
        <v>7.6722807597141518</v>
      </c>
      <c r="K27" s="1357">
        <f>IF('Mkt Pen Veh-Mi'!K27=0,1,1/((1-Fuel2ShrbyTech!K28)/'Inputs 7&amp;8 Day'!$Q40+Fuel2ShrbyTech!K28/'Inputs 7&amp;8 Day'!$W40))</f>
        <v>1</v>
      </c>
      <c r="L27" s="1357">
        <f>IF('Mkt Pen Veh-Mi'!L27=0,1,1/((1-Fuel2ShrbyTech!L28)/'Inputs 7&amp;8 Day'!$R40+Fuel2ShrbyTech!L28/'Inputs 7&amp;8 Day'!$X40))</f>
        <v>1</v>
      </c>
      <c r="M27" s="1358">
        <f>IF('Mkt Pen Veh-Mi'!M27=0,1,1/((1-Fuel2ShrbyTech!M28)/'Inputs 7&amp;8 Day'!$S40+Fuel2ShrbyTech!M28/'Inputs 7&amp;8 Day'!$Y40))</f>
        <v>1</v>
      </c>
      <c r="N27" s="1356">
        <f>IF('Mkt Pen Veh-Mi'!N27=0,1,1/((1-Fuel2ShrbyTech!N28)/'Inputs 7&amp;8 SU'!$N40+Fuel2ShrbyTech!N28/'Inputs 7&amp;8 SU'!$T40))</f>
        <v>7.4034607001476846</v>
      </c>
      <c r="O27" s="1357">
        <f>IF('Mkt Pen Veh-Mi'!O27=0,1,1/((1-Fuel2ShrbyTech!O28)/'Inputs 7&amp;8 SU'!$O40+Fuel2ShrbyTech!O28/'Inputs 7&amp;8 SU'!$U40))</f>
        <v>8.1230803296635674</v>
      </c>
      <c r="P27" s="1357">
        <f>IF('Mkt Pen Veh-Mi'!P27=0,1,1/((1-Fuel2ShrbyTech!P28)/'Inputs 7&amp;8 SU'!$P40+Fuel2ShrbyTech!P28/'Inputs 7&amp;8 SU'!$V40))</f>
        <v>8.5858698131549591</v>
      </c>
      <c r="Q27" s="1357">
        <f>IF('Mkt Pen Veh-Mi'!Q27=0,1,1/((1-Fuel2ShrbyTech!Q28)/'Inputs 7&amp;8 SU'!$Q40+Fuel2ShrbyTech!Q28/'Inputs 7&amp;8 SU'!$W40))</f>
        <v>9.2370892951987713</v>
      </c>
      <c r="R27" s="1357">
        <f>IF('Mkt Pen Veh-Mi'!R27=0,1,1/((1-Fuel2ShrbyTech!R28)/'Inputs 7&amp;8 SU'!$R40+Fuel2ShrbyTech!R28/'Inputs 7&amp;8 SU'!$X40))</f>
        <v>9.6656220170083547</v>
      </c>
      <c r="S27" s="1358">
        <f>IF('Mkt Pen Veh-Mi'!S27=0,1,1/((1-Fuel2ShrbyTech!S28)/'Inputs 7&amp;8 SU'!$S40+Fuel2ShrbyTech!S28/'Inputs 7&amp;8 SU'!$Y40))</f>
        <v>1</v>
      </c>
      <c r="U27" s="1305">
        <f t="shared" si="13"/>
        <v>2025</v>
      </c>
      <c r="V27" s="1356">
        <f t="shared" si="14"/>
        <v>7.8149715088268357</v>
      </c>
      <c r="W27" s="1357">
        <f t="shared" si="15"/>
        <v>8.4914625569617606</v>
      </c>
      <c r="X27" s="1357">
        <f t="shared" si="16"/>
        <v>8.5369547861630277</v>
      </c>
      <c r="Y27" s="1357">
        <f t="shared" si="17"/>
        <v>8.4725274292654547</v>
      </c>
      <c r="Z27" s="1357">
        <f t="shared" si="18"/>
        <v>0</v>
      </c>
      <c r="AA27" s="1358">
        <f t="shared" si="19"/>
        <v>0</v>
      </c>
      <c r="AB27" s="1356">
        <f t="shared" si="20"/>
        <v>6.9844806078855131</v>
      </c>
      <c r="AC27" s="1357">
        <f t="shared" si="21"/>
        <v>7.6476956459691987</v>
      </c>
      <c r="AD27" s="1357">
        <f t="shared" si="22"/>
        <v>7.6722807597141518</v>
      </c>
      <c r="AE27" s="1357">
        <f t="shared" si="23"/>
        <v>0</v>
      </c>
      <c r="AF27" s="1357">
        <f t="shared" si="24"/>
        <v>0</v>
      </c>
      <c r="AG27" s="1358">
        <f t="shared" si="25"/>
        <v>0</v>
      </c>
      <c r="AH27" s="1356">
        <f t="shared" si="26"/>
        <v>7.4034607001476846</v>
      </c>
      <c r="AI27" s="1357">
        <f t="shared" si="27"/>
        <v>8.1230803296635674</v>
      </c>
      <c r="AJ27" s="1357">
        <f t="shared" si="28"/>
        <v>8.5858698131549591</v>
      </c>
      <c r="AK27" s="1357">
        <f t="shared" si="29"/>
        <v>9.2370892951987713</v>
      </c>
      <c r="AL27" s="1357">
        <f t="shared" si="30"/>
        <v>9.6656220170083547</v>
      </c>
      <c r="AM27" s="1358">
        <f t="shared" si="31"/>
        <v>0</v>
      </c>
      <c r="AN27" s="1284">
        <v>2025</v>
      </c>
      <c r="AO27" s="1435">
        <f t="array" ref="AO27">1/SUMPRODUCT(IFERROR(1/V27:AA27,0),'Mkt Pen Veh-Mi'!B27:G27)</f>
        <v>8.2683098874935315</v>
      </c>
      <c r="AP27" s="1436">
        <f t="array" ref="AP27">1/SUMPRODUCT(IFERROR(1/AB27:AG27,0),'Mkt Pen Veh-Mi'!H27:M27)</f>
        <v>7.2935649620840604</v>
      </c>
      <c r="AQ27" s="1440">
        <f t="array" ref="AQ27">1/SUMPRODUCT(IFERROR(1/AH27:AM27,0),'Mkt Pen Veh-Mi'!N27:S27)</f>
        <v>7.6491228573465655</v>
      </c>
      <c r="AR27" s="1433">
        <v>2025</v>
      </c>
      <c r="AS27" s="1435">
        <f t="shared" si="32"/>
        <v>1.0580089611529178</v>
      </c>
      <c r="AT27" s="1436">
        <f t="shared" si="33"/>
        <v>1.0442530191650314</v>
      </c>
      <c r="AU27" s="1436">
        <f t="shared" si="34"/>
        <v>1.0331820708110169</v>
      </c>
      <c r="AV27" s="1440">
        <v>1.0972655221641847</v>
      </c>
    </row>
    <row r="28" spans="1:48" s="1284" customFormat="1" ht="15" x14ac:dyDescent="0.25">
      <c r="A28" s="1299">
        <v>2026</v>
      </c>
      <c r="B28" s="1359">
        <f>IF('Mkt Pen Veh-Mi'!B28=0,1,1/((1-Fuel2ShrbyTech!B29)/'Inputs 7&amp;8 Sleep'!$N41+Fuel2ShrbyTech!B29/'Inputs 7&amp;8 Sleep'!$T41))</f>
        <v>8.0156870895877077</v>
      </c>
      <c r="C28" s="1360">
        <f>IF('Mkt Pen Veh-Mi'!C28=0,1,1/((1-Fuel2ShrbyTech!C29)/'Inputs 7&amp;8 Sleep'!$O41+Fuel2ShrbyTech!C29/'Inputs 7&amp;8 Sleep'!$U41))</f>
        <v>8.8344651188140837</v>
      </c>
      <c r="D28" s="1360">
        <f>IF('Mkt Pen Veh-Mi'!D28=0,1,1/((1-Fuel2ShrbyTech!D29)/'Inputs 7&amp;8 Sleep'!$P41+Fuel2ShrbyTech!D29/'Inputs 7&amp;8 Sleep'!$V41))</f>
        <v>8.8828495805343444</v>
      </c>
      <c r="E28" s="1360">
        <f>IF('Mkt Pen Veh-Mi'!E28=0,1,1/((1-Fuel2ShrbyTech!E29)/'Inputs 7&amp;8 Sleep'!$Q41+Fuel2ShrbyTech!E29/'Inputs 7&amp;8 Sleep'!$W41))</f>
        <v>8.8340580048887816</v>
      </c>
      <c r="F28" s="1360">
        <f>IF('Mkt Pen Veh-Mi'!F28=0,1,1/((1-Fuel2ShrbyTech!F29)/'Inputs 7&amp;8 Sleep'!$R41+Fuel2ShrbyTech!F29/'Inputs 7&amp;8 Sleep'!$X41))</f>
        <v>1</v>
      </c>
      <c r="G28" s="1361">
        <f>IF('Mkt Pen Veh-Mi'!G28=0,1,1/((1-Fuel2ShrbyTech!G29)/'Inputs 7&amp;8 Sleep'!$S41+Fuel2ShrbyTech!G29/'Inputs 7&amp;8 Sleep'!$Y41))</f>
        <v>1</v>
      </c>
      <c r="H28" s="1359">
        <f>IF('Mkt Pen Veh-Mi'!H28=0,1,1/((1-Fuel2ShrbyTech!H29)/'Inputs 7&amp;8 Day'!$N41+Fuel2ShrbyTech!H29/'Inputs 7&amp;8 Day'!$T41))</f>
        <v>7.1268235859261271</v>
      </c>
      <c r="I28" s="1360">
        <f>IF('Mkt Pen Veh-Mi'!I28=0,1,1/((1-Fuel2ShrbyTech!I29)/'Inputs 7&amp;8 Day'!$O41+Fuel2ShrbyTech!I29/'Inputs 7&amp;8 Day'!$U41))</f>
        <v>7.9249885608497443</v>
      </c>
      <c r="J28" s="1360">
        <f>IF('Mkt Pen Veh-Mi'!J28=0,1,1/((1-Fuel2ShrbyTech!J29)/'Inputs 7&amp;8 Day'!$P41+Fuel2ShrbyTech!J29/'Inputs 7&amp;8 Day'!$V41))</f>
        <v>7.9546623437176862</v>
      </c>
      <c r="K28" s="1360">
        <f>IF('Mkt Pen Veh-Mi'!K28=0,1,1/((1-Fuel2ShrbyTech!K29)/'Inputs 7&amp;8 Day'!$Q41+Fuel2ShrbyTech!K29/'Inputs 7&amp;8 Day'!$W41))</f>
        <v>1</v>
      </c>
      <c r="L28" s="1360">
        <f>IF('Mkt Pen Veh-Mi'!L28=0,1,1/((1-Fuel2ShrbyTech!L29)/'Inputs 7&amp;8 Day'!$R41+Fuel2ShrbyTech!L29/'Inputs 7&amp;8 Day'!$X41))</f>
        <v>1</v>
      </c>
      <c r="M28" s="1361">
        <f>IF('Mkt Pen Veh-Mi'!M28=0,1,1/((1-Fuel2ShrbyTech!M29)/'Inputs 7&amp;8 Day'!$S41+Fuel2ShrbyTech!M29/'Inputs 7&amp;8 Day'!$Y41))</f>
        <v>1</v>
      </c>
      <c r="N28" s="1359">
        <f>IF('Mkt Pen Veh-Mi'!N28=0,1,1/((1-Fuel2ShrbyTech!N29)/'Inputs 7&amp;8 SU'!$N41+Fuel2ShrbyTech!N29/'Inputs 7&amp;8 SU'!$T41))</f>
        <v>7.5834844603463765</v>
      </c>
      <c r="O28" s="1360">
        <f>IF('Mkt Pen Veh-Mi'!O28=0,1,1/((1-Fuel2ShrbyTech!O29)/'Inputs 7&amp;8 SU'!$O41+Fuel2ShrbyTech!O29/'Inputs 7&amp;8 SU'!$U41))</f>
        <v>8.4580394234536715</v>
      </c>
      <c r="P28" s="1360">
        <f>IF('Mkt Pen Veh-Mi'!P28=0,1,1/((1-Fuel2ShrbyTech!P29)/'Inputs 7&amp;8 SU'!$P41+Fuel2ShrbyTech!P29/'Inputs 7&amp;8 SU'!$V41))</f>
        <v>8.9454083517288723</v>
      </c>
      <c r="Q28" s="1360">
        <f>IF('Mkt Pen Veh-Mi'!Q28=0,1,1/((1-Fuel2ShrbyTech!Q29)/'Inputs 7&amp;8 SU'!$Q41+Fuel2ShrbyTech!Q29/'Inputs 7&amp;8 SU'!$W41))</f>
        <v>9.6164326093485641</v>
      </c>
      <c r="R28" s="1360">
        <f>IF('Mkt Pen Veh-Mi'!R28=0,1,1/((1-Fuel2ShrbyTech!R29)/'Inputs 7&amp;8 SU'!$R41+Fuel2ShrbyTech!R29/'Inputs 7&amp;8 SU'!$X41))</f>
        <v>10.237470087058337</v>
      </c>
      <c r="S28" s="1361">
        <f>IF('Mkt Pen Veh-Mi'!S28=0,1,1/((1-Fuel2ShrbyTech!S29)/'Inputs 7&amp;8 SU'!$S41+Fuel2ShrbyTech!S29/'Inputs 7&amp;8 SU'!$Y41))</f>
        <v>1</v>
      </c>
      <c r="U28" s="1299">
        <f t="shared" si="13"/>
        <v>2026</v>
      </c>
      <c r="V28" s="1359">
        <f t="shared" si="14"/>
        <v>8.0156870895877077</v>
      </c>
      <c r="W28" s="1360">
        <f t="shared" si="15"/>
        <v>8.8344651188140837</v>
      </c>
      <c r="X28" s="1360">
        <f t="shared" si="16"/>
        <v>8.8828495805343444</v>
      </c>
      <c r="Y28" s="1360">
        <f t="shared" si="17"/>
        <v>8.8340580048887816</v>
      </c>
      <c r="Z28" s="1360">
        <f t="shared" si="18"/>
        <v>0</v>
      </c>
      <c r="AA28" s="1361">
        <f t="shared" si="19"/>
        <v>0</v>
      </c>
      <c r="AB28" s="1359">
        <f t="shared" si="20"/>
        <v>7.1268235859261271</v>
      </c>
      <c r="AC28" s="1360">
        <f t="shared" si="21"/>
        <v>7.9249885608497443</v>
      </c>
      <c r="AD28" s="1360">
        <f t="shared" si="22"/>
        <v>7.9546623437176862</v>
      </c>
      <c r="AE28" s="1360">
        <f t="shared" si="23"/>
        <v>0</v>
      </c>
      <c r="AF28" s="1360">
        <f t="shared" si="24"/>
        <v>0</v>
      </c>
      <c r="AG28" s="1361">
        <f t="shared" si="25"/>
        <v>0</v>
      </c>
      <c r="AH28" s="1359">
        <f t="shared" si="26"/>
        <v>7.5834844603463765</v>
      </c>
      <c r="AI28" s="1360">
        <f t="shared" si="27"/>
        <v>8.4580394234536715</v>
      </c>
      <c r="AJ28" s="1360">
        <f t="shared" si="28"/>
        <v>8.9454083517288723</v>
      </c>
      <c r="AK28" s="1360">
        <f t="shared" si="29"/>
        <v>9.6164326093485641</v>
      </c>
      <c r="AL28" s="1360">
        <f t="shared" si="30"/>
        <v>10.237470087058337</v>
      </c>
      <c r="AM28" s="1361">
        <f t="shared" si="31"/>
        <v>0</v>
      </c>
      <c r="AN28" s="1284">
        <v>2026</v>
      </c>
      <c r="AO28" s="1435">
        <f t="array" ref="AO28">1/SUMPRODUCT(IFERROR(1/V28:AA28,0),'Mkt Pen Veh-Mi'!B28:G28)</f>
        <v>8.6966932159326831</v>
      </c>
      <c r="AP28" s="1436">
        <f t="array" ref="AP28">1/SUMPRODUCT(IFERROR(1/AB28:AG28,0),'Mkt Pen Veh-Mi'!H28:M28)</f>
        <v>7.6129743228303495</v>
      </c>
      <c r="AQ28" s="1440">
        <f t="array" ref="AQ28">1/SUMPRODUCT(IFERROR(1/AH28:AM28,0),'Mkt Pen Veh-Mi'!N28:S28)</f>
        <v>8.0255165735441789</v>
      </c>
      <c r="AR28" s="1433">
        <v>2026</v>
      </c>
      <c r="AS28" s="1435">
        <f t="shared" si="32"/>
        <v>1.0849591705282002</v>
      </c>
      <c r="AT28" s="1436">
        <f t="shared" si="33"/>
        <v>1.0682142234956202</v>
      </c>
      <c r="AU28" s="1436">
        <f t="shared" si="34"/>
        <v>1.0582887873653812</v>
      </c>
      <c r="AV28" s="1440">
        <v>1.1088315108256861</v>
      </c>
    </row>
    <row r="29" spans="1:48" s="1284" customFormat="1" ht="15" x14ac:dyDescent="0.25">
      <c r="A29" s="1299">
        <v>2027</v>
      </c>
      <c r="B29" s="1353">
        <f>IF('Mkt Pen Veh-Mi'!B29=0,1,1/((1-Fuel2ShrbyTech!B30)/'Inputs 7&amp;8 Sleep'!$N42+Fuel2ShrbyTech!B30/'Inputs 7&amp;8 Sleep'!$T42))</f>
        <v>8.2058097340255856</v>
      </c>
      <c r="C29" s="1354">
        <f>IF('Mkt Pen Veh-Mi'!C29=0,1,1/((1-Fuel2ShrbyTech!C30)/'Inputs 7&amp;8 Sleep'!$O42+Fuel2ShrbyTech!C30/'Inputs 7&amp;8 Sleep'!$U42))</f>
        <v>9.1676956127079929</v>
      </c>
      <c r="D29" s="1354">
        <f>IF('Mkt Pen Veh-Mi'!D29=0,1,1/((1-Fuel2ShrbyTech!D30)/'Inputs 7&amp;8 Sleep'!$P42+Fuel2ShrbyTech!D30/'Inputs 7&amp;8 Sleep'!$V42))</f>
        <v>9.2189346263902561</v>
      </c>
      <c r="E29" s="1354">
        <f>IF('Mkt Pen Veh-Mi'!E29=0,1,1/((1-Fuel2ShrbyTech!E30)/'Inputs 7&amp;8 Sleep'!$Q42+Fuel2ShrbyTech!E30/'Inputs 7&amp;8 Sleep'!$W42))</f>
        <v>9.1861067133859464</v>
      </c>
      <c r="F29" s="1354">
        <f>IF('Mkt Pen Veh-Mi'!F29=0,1,1/((1-Fuel2ShrbyTech!F30)/'Inputs 7&amp;8 Sleep'!$R42+Fuel2ShrbyTech!F30/'Inputs 7&amp;8 Sleep'!$X42))</f>
        <v>1</v>
      </c>
      <c r="G29" s="1355">
        <f>IF('Mkt Pen Veh-Mi'!G29=0,1,1/((1-Fuel2ShrbyTech!G30)/'Inputs 7&amp;8 Sleep'!$S42+Fuel2ShrbyTech!G30/'Inputs 7&amp;8 Sleep'!$Y42))</f>
        <v>1</v>
      </c>
      <c r="H29" s="1353">
        <f>IF('Mkt Pen Veh-Mi'!H29=0,1,1/((1-Fuel2ShrbyTech!H30)/'Inputs 7&amp;8 Day'!$N42+Fuel2ShrbyTech!H30/'Inputs 7&amp;8 Day'!$T42))</f>
        <v>7.2596573539994482</v>
      </c>
      <c r="I29" s="1354">
        <f>IF('Mkt Pen Veh-Mi'!I29=0,1,1/((1-Fuel2ShrbyTech!I30)/'Inputs 7&amp;8 Day'!$O42+Fuel2ShrbyTech!I30/'Inputs 7&amp;8 Day'!$U42))</f>
        <v>8.1922290283404546</v>
      </c>
      <c r="J29" s="1354">
        <f>IF('Mkt Pen Veh-Mi'!J29=0,1,1/((1-Fuel2ShrbyTech!J30)/'Inputs 7&amp;8 Day'!$P42+Fuel2ShrbyTech!J30/'Inputs 7&amp;8 Day'!$V42))</f>
        <v>8.2269715978747104</v>
      </c>
      <c r="K29" s="1354">
        <f>IF('Mkt Pen Veh-Mi'!K29=0,1,1/((1-Fuel2ShrbyTech!K30)/'Inputs 7&amp;8 Day'!$Q42+Fuel2ShrbyTech!K30/'Inputs 7&amp;8 Day'!$W42))</f>
        <v>1</v>
      </c>
      <c r="L29" s="1354">
        <f>IF('Mkt Pen Veh-Mi'!L29=0,1,1/((1-Fuel2ShrbyTech!L30)/'Inputs 7&amp;8 Day'!$R42+Fuel2ShrbyTech!L30/'Inputs 7&amp;8 Day'!$X42))</f>
        <v>1</v>
      </c>
      <c r="M29" s="1355">
        <f>IF('Mkt Pen Veh-Mi'!M29=0,1,1/((1-Fuel2ShrbyTech!M30)/'Inputs 7&amp;8 Day'!$S42+Fuel2ShrbyTech!M30/'Inputs 7&amp;8 Day'!$Y42))</f>
        <v>1</v>
      </c>
      <c r="N29" s="1353">
        <f>IF('Mkt Pen Veh-Mi'!N29=0,1,1/((1-Fuel2ShrbyTech!N30)/'Inputs 7&amp;8 SU'!$N42+Fuel2ShrbyTech!N30/'Inputs 7&amp;8 SU'!$T42))</f>
        <v>7.7778665274939494</v>
      </c>
      <c r="O29" s="1354">
        <f>IF('Mkt Pen Veh-Mi'!O29=0,1,1/((1-Fuel2ShrbyTech!O30)/'Inputs 7&amp;8 SU'!$O42+Fuel2ShrbyTech!O30/'Inputs 7&amp;8 SU'!$U42))</f>
        <v>8.8126507096394544</v>
      </c>
      <c r="P29" s="1354">
        <f>IF('Mkt Pen Veh-Mi'!P29=0,1,1/((1-Fuel2ShrbyTech!P30)/'Inputs 7&amp;8 SU'!$P42+Fuel2ShrbyTech!P30/'Inputs 7&amp;8 SU'!$V42))</f>
        <v>9.32587460164868</v>
      </c>
      <c r="Q29" s="1354">
        <f>IF('Mkt Pen Veh-Mi'!Q29=0,1,1/((1-Fuel2ShrbyTech!Q30)/'Inputs 7&amp;8 SU'!$Q42+Fuel2ShrbyTech!Q30/'Inputs 7&amp;8 SU'!$W42))</f>
        <v>10.018079206921627</v>
      </c>
      <c r="R29" s="1354">
        <f>IF('Mkt Pen Veh-Mi'!R29=0,1,1/((1-Fuel2ShrbyTech!R30)/'Inputs 7&amp;8 SU'!$R42+Fuel2ShrbyTech!R30/'Inputs 7&amp;8 SU'!$X42))</f>
        <v>10.9764177481856</v>
      </c>
      <c r="S29" s="1355">
        <f>IF('Mkt Pen Veh-Mi'!S29=0,1,1/((1-Fuel2ShrbyTech!S30)/'Inputs 7&amp;8 SU'!$S42+Fuel2ShrbyTech!S30/'Inputs 7&amp;8 SU'!$Y42))</f>
        <v>1</v>
      </c>
      <c r="U29" s="1299">
        <f t="shared" si="13"/>
        <v>2027</v>
      </c>
      <c r="V29" s="1353">
        <f t="shared" si="14"/>
        <v>8.2058097340255856</v>
      </c>
      <c r="W29" s="1354">
        <f t="shared" si="15"/>
        <v>9.1676956127079929</v>
      </c>
      <c r="X29" s="1354">
        <f t="shared" si="16"/>
        <v>9.2189346263902561</v>
      </c>
      <c r="Y29" s="1354">
        <f t="shared" si="17"/>
        <v>9.1861067133859464</v>
      </c>
      <c r="Z29" s="1354">
        <f t="shared" si="18"/>
        <v>0</v>
      </c>
      <c r="AA29" s="1355">
        <f t="shared" si="19"/>
        <v>0</v>
      </c>
      <c r="AB29" s="1353">
        <f t="shared" si="20"/>
        <v>7.2596573539994482</v>
      </c>
      <c r="AC29" s="1354">
        <f t="shared" si="21"/>
        <v>8.1922290283404546</v>
      </c>
      <c r="AD29" s="1354">
        <f t="shared" si="22"/>
        <v>8.2269715978747104</v>
      </c>
      <c r="AE29" s="1354">
        <f t="shared" si="23"/>
        <v>0</v>
      </c>
      <c r="AF29" s="1354">
        <f t="shared" si="24"/>
        <v>0</v>
      </c>
      <c r="AG29" s="1355">
        <f t="shared" si="25"/>
        <v>0</v>
      </c>
      <c r="AH29" s="1353">
        <f t="shared" si="26"/>
        <v>7.7778665274939494</v>
      </c>
      <c r="AI29" s="1354">
        <f t="shared" si="27"/>
        <v>8.8126507096394544</v>
      </c>
      <c r="AJ29" s="1354">
        <f t="shared" si="28"/>
        <v>9.32587460164868</v>
      </c>
      <c r="AK29" s="1354">
        <f t="shared" si="29"/>
        <v>10.018079206921627</v>
      </c>
      <c r="AL29" s="1354">
        <f t="shared" si="30"/>
        <v>10.9764177481856</v>
      </c>
      <c r="AM29" s="1355">
        <f t="shared" si="31"/>
        <v>0</v>
      </c>
      <c r="AN29" s="1284">
        <v>2027</v>
      </c>
      <c r="AO29" s="1435">
        <f t="array" ref="AO29">1/SUMPRODUCT(IFERROR(1/V29:AA29,0),'Mkt Pen Veh-Mi'!B29:G29)</f>
        <v>9.0892749220305564</v>
      </c>
      <c r="AP29" s="1436">
        <f t="array" ref="AP29">1/SUMPRODUCT(IFERROR(1/AB29:AG29,0),'Mkt Pen Veh-Mi'!H29:M29)</f>
        <v>7.913996885711911</v>
      </c>
      <c r="AQ29" s="1440">
        <f t="array" ref="AQ29">1/SUMPRODUCT(IFERROR(1/AH29:AM29,0),'Mkt Pen Veh-Mi'!N29:S29)</f>
        <v>8.4110382677470756</v>
      </c>
      <c r="AR29" s="1433">
        <v>2027</v>
      </c>
      <c r="AS29" s="1435">
        <f t="shared" si="32"/>
        <v>1.1076633771243394</v>
      </c>
      <c r="AT29" s="1436">
        <f t="shared" si="33"/>
        <v>1.0901336660678589</v>
      </c>
      <c r="AU29" s="1436">
        <f t="shared" si="34"/>
        <v>1.0814068662678809</v>
      </c>
      <c r="AV29" s="1440">
        <v>1.1157356459109145</v>
      </c>
    </row>
    <row r="30" spans="1:48" s="1284" customFormat="1" ht="15" x14ac:dyDescent="0.25">
      <c r="A30" s="1299">
        <v>2028</v>
      </c>
      <c r="B30" s="1353">
        <f>IF('Mkt Pen Veh-Mi'!B30=0,1,1/((1-Fuel2ShrbyTech!B31)/'Inputs 7&amp;8 Sleep'!$N43+Fuel2ShrbyTech!B31/'Inputs 7&amp;8 Sleep'!$T43))</f>
        <v>8.2874487229188585</v>
      </c>
      <c r="C30" s="1354">
        <f>IF('Mkt Pen Veh-Mi'!C30=0,1,1/((1-Fuel2ShrbyTech!C31)/'Inputs 7&amp;8 Sleep'!$O43+Fuel2ShrbyTech!C31/'Inputs 7&amp;8 Sleep'!$U43))</f>
        <v>9.3797973204981187</v>
      </c>
      <c r="D30" s="1354">
        <f>IF('Mkt Pen Veh-Mi'!D30=0,1,1/((1-Fuel2ShrbyTech!D31)/'Inputs 7&amp;8 Sleep'!$P43+Fuel2ShrbyTech!D31/'Inputs 7&amp;8 Sleep'!$V43))</f>
        <v>9.4332144730272312</v>
      </c>
      <c r="E30" s="1354">
        <f>IF('Mkt Pen Veh-Mi'!E30=0,1,1/((1-Fuel2ShrbyTech!E31)/'Inputs 7&amp;8 Sleep'!$Q43+Fuel2ShrbyTech!E31/'Inputs 7&amp;8 Sleep'!$W43))</f>
        <v>9.4167940933366303</v>
      </c>
      <c r="F30" s="1354">
        <f>IF('Mkt Pen Veh-Mi'!F30=0,1,1/((1-Fuel2ShrbyTech!F31)/'Inputs 7&amp;8 Sleep'!$R43+Fuel2ShrbyTech!F31/'Inputs 7&amp;8 Sleep'!$X43))</f>
        <v>1</v>
      </c>
      <c r="G30" s="1355">
        <f>IF('Mkt Pen Veh-Mi'!G30=0,1,1/((1-Fuel2ShrbyTech!G31)/'Inputs 7&amp;8 Sleep'!$S43+Fuel2ShrbyTech!G31/'Inputs 7&amp;8 Sleep'!$Y43))</f>
        <v>1</v>
      </c>
      <c r="H30" s="1353">
        <f>IF('Mkt Pen Veh-Mi'!H30=0,1,1/((1-Fuel2ShrbyTech!H31)/'Inputs 7&amp;8 Day'!$N43+Fuel2ShrbyTech!H31/'Inputs 7&amp;8 Day'!$T43))</f>
        <v>7.3232479833579154</v>
      </c>
      <c r="I30" s="1354">
        <f>IF('Mkt Pen Veh-Mi'!I30=0,1,1/((1-Fuel2ShrbyTech!I31)/'Inputs 7&amp;8 Day'!$O43+Fuel2ShrbyTech!I31/'Inputs 7&amp;8 Day'!$U43))</f>
        <v>8.3805709435905573</v>
      </c>
      <c r="J30" s="1354">
        <f>IF('Mkt Pen Veh-Mi'!J30=0,1,1/((1-Fuel2ShrbyTech!J31)/'Inputs 7&amp;8 Day'!$P43+Fuel2ShrbyTech!J31/'Inputs 7&amp;8 Day'!$V43))</f>
        <v>8.42002219267337</v>
      </c>
      <c r="K30" s="1354">
        <f>IF('Mkt Pen Veh-Mi'!K30=0,1,1/((1-Fuel2ShrbyTech!K31)/'Inputs 7&amp;8 Day'!$Q43+Fuel2ShrbyTech!K31/'Inputs 7&amp;8 Day'!$W43))</f>
        <v>1</v>
      </c>
      <c r="L30" s="1354">
        <f>IF('Mkt Pen Veh-Mi'!L30=0,1,1/((1-Fuel2ShrbyTech!L31)/'Inputs 7&amp;8 Day'!$R43+Fuel2ShrbyTech!L31/'Inputs 7&amp;8 Day'!$X43))</f>
        <v>1</v>
      </c>
      <c r="M30" s="1355">
        <f>IF('Mkt Pen Veh-Mi'!M30=0,1,1/((1-Fuel2ShrbyTech!M31)/'Inputs 7&amp;8 Day'!$S43+Fuel2ShrbyTech!M31/'Inputs 7&amp;8 Day'!$Y43))</f>
        <v>1</v>
      </c>
      <c r="N30" s="1353">
        <f>IF('Mkt Pen Veh-Mi'!N30=0,1,1/((1-Fuel2ShrbyTech!N31)/'Inputs 7&amp;8 SU'!$N43+Fuel2ShrbyTech!N31/'Inputs 7&amp;8 SU'!$T43))</f>
        <v>7.8497723897288614</v>
      </c>
      <c r="O30" s="1354">
        <f>IF('Mkt Pen Veh-Mi'!O30=0,1,1/((1-Fuel2ShrbyTech!O31)/'Inputs 7&amp;8 SU'!$O43+Fuel2ShrbyTech!O31/'Inputs 7&amp;8 SU'!$U43))</f>
        <v>9.0301382440354931</v>
      </c>
      <c r="P30" s="1354">
        <f>IF('Mkt Pen Veh-Mi'!P30=0,1,1/((1-Fuel2ShrbyTech!P31)/'Inputs 7&amp;8 SU'!$P43+Fuel2ShrbyTech!P31/'Inputs 7&amp;8 SU'!$V43))</f>
        <v>9.5612951778514503</v>
      </c>
      <c r="Q30" s="1354">
        <f>IF('Mkt Pen Veh-Mi'!Q30=0,1,1/((1-Fuel2ShrbyTech!Q31)/'Inputs 7&amp;8 SU'!$Q43+Fuel2ShrbyTech!Q31/'Inputs 7&amp;8 SU'!$W43))</f>
        <v>10.263827719551157</v>
      </c>
      <c r="R30" s="1354">
        <f>IF('Mkt Pen Veh-Mi'!R30=0,1,1/((1-Fuel2ShrbyTech!R31)/'Inputs 7&amp;8 SU'!$R43+Fuel2ShrbyTech!R31/'Inputs 7&amp;8 SU'!$X43))</f>
        <v>11.528268767613186</v>
      </c>
      <c r="S30" s="1355">
        <f>IF('Mkt Pen Veh-Mi'!S30=0,1,1/((1-Fuel2ShrbyTech!S31)/'Inputs 7&amp;8 SU'!$S43+Fuel2ShrbyTech!S31/'Inputs 7&amp;8 SU'!$Y43))</f>
        <v>1</v>
      </c>
      <c r="U30" s="1299">
        <f t="shared" si="13"/>
        <v>2028</v>
      </c>
      <c r="V30" s="1353">
        <f t="shared" si="14"/>
        <v>8.2874487229188585</v>
      </c>
      <c r="W30" s="1354">
        <f t="shared" si="15"/>
        <v>9.3797973204981187</v>
      </c>
      <c r="X30" s="1354">
        <f t="shared" si="16"/>
        <v>9.4332144730272312</v>
      </c>
      <c r="Y30" s="1354">
        <f t="shared" si="17"/>
        <v>9.4167940933366303</v>
      </c>
      <c r="Z30" s="1354">
        <f t="shared" si="18"/>
        <v>0</v>
      </c>
      <c r="AA30" s="1355">
        <f t="shared" si="19"/>
        <v>0</v>
      </c>
      <c r="AB30" s="1353">
        <f t="shared" si="20"/>
        <v>7.3232479833579154</v>
      </c>
      <c r="AC30" s="1354">
        <f t="shared" si="21"/>
        <v>8.3805709435905573</v>
      </c>
      <c r="AD30" s="1354">
        <f t="shared" si="22"/>
        <v>8.42002219267337</v>
      </c>
      <c r="AE30" s="1354">
        <f t="shared" si="23"/>
        <v>0</v>
      </c>
      <c r="AF30" s="1354">
        <f t="shared" si="24"/>
        <v>0</v>
      </c>
      <c r="AG30" s="1355">
        <f t="shared" si="25"/>
        <v>0</v>
      </c>
      <c r="AH30" s="1353">
        <f t="shared" si="26"/>
        <v>7.8497723897288614</v>
      </c>
      <c r="AI30" s="1354">
        <f t="shared" si="27"/>
        <v>9.0301382440354931</v>
      </c>
      <c r="AJ30" s="1354">
        <f t="shared" si="28"/>
        <v>9.5612951778514503</v>
      </c>
      <c r="AK30" s="1354">
        <f t="shared" si="29"/>
        <v>10.263827719551157</v>
      </c>
      <c r="AL30" s="1354">
        <f t="shared" si="30"/>
        <v>11.528268767613186</v>
      </c>
      <c r="AM30" s="1355">
        <f t="shared" si="31"/>
        <v>0</v>
      </c>
      <c r="AN30" s="1284">
        <v>2028</v>
      </c>
      <c r="AO30" s="1435">
        <f t="array" ref="AO30">1/SUMPRODUCT(IFERROR(1/V30:AA30,0),'Mkt Pen Veh-Mi'!B30:G30)</f>
        <v>9.3401304360341015</v>
      </c>
      <c r="AP30" s="1436">
        <f t="array" ref="AP30">1/SUMPRODUCT(IFERROR(1/AB30:AG30,0),'Mkt Pen Veh-Mi'!H30:M30)</f>
        <v>8.1121118976656152</v>
      </c>
      <c r="AQ30" s="1440">
        <f t="array" ref="AQ30">1/SUMPRODUCT(IFERROR(1/AH30:AM30,0),'Mkt Pen Veh-Mi'!N30:S30)</f>
        <v>8.6332373346928684</v>
      </c>
      <c r="AR30" s="1433">
        <v>2028</v>
      </c>
      <c r="AS30" s="1435">
        <f t="shared" si="32"/>
        <v>1.1270212037878511</v>
      </c>
      <c r="AT30" s="1436">
        <f t="shared" si="33"/>
        <v>1.1077204972575547</v>
      </c>
      <c r="AU30" s="1436">
        <f t="shared" si="34"/>
        <v>1.0998073454956658</v>
      </c>
      <c r="AV30" s="1440">
        <v>1.128298781955815</v>
      </c>
    </row>
    <row r="31" spans="1:48" s="1284" customFormat="1" ht="15" x14ac:dyDescent="0.25">
      <c r="A31" s="1299">
        <v>2029</v>
      </c>
      <c r="B31" s="1353">
        <f>IF('Mkt Pen Veh-Mi'!B31=0,1,1/((1-Fuel2ShrbyTech!B32)/'Inputs 7&amp;8 Sleep'!$N44+Fuel2ShrbyTech!B32/'Inputs 7&amp;8 Sleep'!$T44))</f>
        <v>8.2981128671196664</v>
      </c>
      <c r="C31" s="1354">
        <f>IF('Mkt Pen Veh-Mi'!C31=0,1,1/((1-Fuel2ShrbyTech!C32)/'Inputs 7&amp;8 Sleep'!$O44+Fuel2ShrbyTech!C32/'Inputs 7&amp;8 Sleep'!$U44))</f>
        <v>9.5090771768712248</v>
      </c>
      <c r="D31" s="1354">
        <f>IF('Mkt Pen Veh-Mi'!D31=0,1,1/((1-Fuel2ShrbyTech!D32)/'Inputs 7&amp;8 Sleep'!$P44+Fuel2ShrbyTech!D32/'Inputs 7&amp;8 Sleep'!$V44))</f>
        <v>9.5641806061913321</v>
      </c>
      <c r="E31" s="1354">
        <f>IF('Mkt Pen Veh-Mi'!E31=0,1,1/((1-Fuel2ShrbyTech!E32)/'Inputs 7&amp;8 Sleep'!$Q44+Fuel2ShrbyTech!E32/'Inputs 7&amp;8 Sleep'!$W44))</f>
        <v>9.5639634431368883</v>
      </c>
      <c r="F31" s="1354">
        <f>IF('Mkt Pen Veh-Mi'!F31=0,1,1/((1-Fuel2ShrbyTech!F32)/'Inputs 7&amp;8 Sleep'!$R44+Fuel2ShrbyTech!F32/'Inputs 7&amp;8 Sleep'!$X44))</f>
        <v>1</v>
      </c>
      <c r="G31" s="1355">
        <f>IF('Mkt Pen Veh-Mi'!G31=0,1,1/((1-Fuel2ShrbyTech!G32)/'Inputs 7&amp;8 Sleep'!$S44+Fuel2ShrbyTech!G32/'Inputs 7&amp;8 Sleep'!$Y44))</f>
        <v>1</v>
      </c>
      <c r="H31" s="1353">
        <f>IF('Mkt Pen Veh-Mi'!H31=0,1,1/((1-Fuel2ShrbyTech!H32)/'Inputs 7&amp;8 Day'!$N44+Fuel2ShrbyTech!H32/'Inputs 7&amp;8 Day'!$T44))</f>
        <v>7.3993968431096366</v>
      </c>
      <c r="I31" s="1354">
        <f>IF('Mkt Pen Veh-Mi'!I31=0,1,1/((1-Fuel2ShrbyTech!I32)/'Inputs 7&amp;8 Day'!$O44+Fuel2ShrbyTech!I32/'Inputs 7&amp;8 Day'!$U44))</f>
        <v>8.5816699822997506</v>
      </c>
      <c r="J31" s="1354">
        <f>IF('Mkt Pen Veh-Mi'!J31=0,1,1/((1-Fuel2ShrbyTech!J32)/'Inputs 7&amp;8 Day'!$P44+Fuel2ShrbyTech!J32/'Inputs 7&amp;8 Day'!$V44))</f>
        <v>8.6258365790986815</v>
      </c>
      <c r="K31" s="1354">
        <f>IF('Mkt Pen Veh-Mi'!K31=0,1,1/((1-Fuel2ShrbyTech!K32)/'Inputs 7&amp;8 Day'!$Q44+Fuel2ShrbyTech!K32/'Inputs 7&amp;8 Day'!$W44))</f>
        <v>1</v>
      </c>
      <c r="L31" s="1354">
        <f>IF('Mkt Pen Veh-Mi'!L31=0,1,1/((1-Fuel2ShrbyTech!L32)/'Inputs 7&amp;8 Day'!$R44+Fuel2ShrbyTech!L32/'Inputs 7&amp;8 Day'!$X44))</f>
        <v>1</v>
      </c>
      <c r="M31" s="1355">
        <f>IF('Mkt Pen Veh-Mi'!M31=0,1,1/((1-Fuel2ShrbyTech!M32)/'Inputs 7&amp;8 Day'!$S44+Fuel2ShrbyTech!M32/'Inputs 7&amp;8 Day'!$Y44))</f>
        <v>1</v>
      </c>
      <c r="N31" s="1353">
        <f>IF('Mkt Pen Veh-Mi'!N31=0,1,1/((1-Fuel2ShrbyTech!N32)/'Inputs 7&amp;8 SU'!$N44+Fuel2ShrbyTech!N32/'Inputs 7&amp;8 SU'!$T44))</f>
        <v>8.0071411369221437</v>
      </c>
      <c r="O31" s="1354">
        <f>IF('Mkt Pen Veh-Mi'!O31=0,1,1/((1-Fuel2ShrbyTech!O32)/'Inputs 7&amp;8 SU'!$O44+Fuel2ShrbyTech!O32/'Inputs 7&amp;8 SU'!$U44))</f>
        <v>9.3468821582126083</v>
      </c>
      <c r="P31" s="1354">
        <f>IF('Mkt Pen Veh-Mi'!P31=0,1,1/((1-Fuel2ShrbyTech!P32)/'Inputs 7&amp;8 SU'!$P44+Fuel2ShrbyTech!P32/'Inputs 7&amp;8 SU'!$V44))</f>
        <v>9.9018463883889982</v>
      </c>
      <c r="Q31" s="1354">
        <f>IF('Mkt Pen Veh-Mi'!Q31=0,1,1/((1-Fuel2ShrbyTech!Q32)/'Inputs 7&amp;8 SU'!$Q44+Fuel2ShrbyTech!Q32/'Inputs 7&amp;8 SU'!$W44))</f>
        <v>10.622382776328237</v>
      </c>
      <c r="R31" s="1354">
        <f>IF('Mkt Pen Veh-Mi'!R31=0,1,1/((1-Fuel2ShrbyTech!R32)/'Inputs 7&amp;8 SU'!$R44+Fuel2ShrbyTech!R32/'Inputs 7&amp;8 SU'!$X44))</f>
        <v>12.210359519158601</v>
      </c>
      <c r="S31" s="1355">
        <f>IF('Mkt Pen Veh-Mi'!S31=0,1,1/((1-Fuel2ShrbyTech!S32)/'Inputs 7&amp;8 SU'!$S44+Fuel2ShrbyTech!S32/'Inputs 7&amp;8 SU'!$Y44))</f>
        <v>1</v>
      </c>
      <c r="U31" s="1299">
        <f t="shared" si="13"/>
        <v>2029</v>
      </c>
      <c r="V31" s="1353">
        <f t="shared" si="14"/>
        <v>8.2981128671196664</v>
      </c>
      <c r="W31" s="1354">
        <f t="shared" si="15"/>
        <v>9.5090771768712248</v>
      </c>
      <c r="X31" s="1354">
        <f t="shared" si="16"/>
        <v>9.5641806061913321</v>
      </c>
      <c r="Y31" s="1354">
        <f t="shared" si="17"/>
        <v>9.5639634431368883</v>
      </c>
      <c r="Z31" s="1354">
        <f t="shared" si="18"/>
        <v>0</v>
      </c>
      <c r="AA31" s="1355">
        <f t="shared" si="19"/>
        <v>0</v>
      </c>
      <c r="AB31" s="1353">
        <f t="shared" si="20"/>
        <v>7.3993968431096366</v>
      </c>
      <c r="AC31" s="1354">
        <f t="shared" si="21"/>
        <v>8.5816699822997506</v>
      </c>
      <c r="AD31" s="1354">
        <f t="shared" si="22"/>
        <v>8.6258365790986815</v>
      </c>
      <c r="AE31" s="1354">
        <f t="shared" si="23"/>
        <v>0</v>
      </c>
      <c r="AF31" s="1354">
        <f t="shared" si="24"/>
        <v>0</v>
      </c>
      <c r="AG31" s="1355">
        <f t="shared" si="25"/>
        <v>0</v>
      </c>
      <c r="AH31" s="1353">
        <f t="shared" si="26"/>
        <v>8.0071411369221437</v>
      </c>
      <c r="AI31" s="1354">
        <f t="shared" si="27"/>
        <v>9.3468821582126083</v>
      </c>
      <c r="AJ31" s="1354">
        <f t="shared" si="28"/>
        <v>9.9018463883889982</v>
      </c>
      <c r="AK31" s="1354">
        <f t="shared" si="29"/>
        <v>10.622382776328237</v>
      </c>
      <c r="AL31" s="1354">
        <f t="shared" si="30"/>
        <v>12.210359519158601</v>
      </c>
      <c r="AM31" s="1355">
        <f t="shared" si="31"/>
        <v>0</v>
      </c>
      <c r="AN31" s="1284">
        <v>2029</v>
      </c>
      <c r="AO31" s="1435">
        <f t="array" ref="AO31">1/SUMPRODUCT(IFERROR(1/V31:AA31,0),'Mkt Pen Veh-Mi'!B31:G31)</f>
        <v>9.4944408321858234</v>
      </c>
      <c r="AP31" s="1436">
        <f t="array" ref="AP31">1/SUMPRODUCT(IFERROR(1/AB31:AG31,0),'Mkt Pen Veh-Mi'!H31:M31)</f>
        <v>8.3254642913913557</v>
      </c>
      <c r="AQ31" s="1440">
        <f t="array" ref="AQ31">1/SUMPRODUCT(IFERROR(1/AH31:AM31,0),'Mkt Pen Veh-Mi'!N31:S31)</f>
        <v>8.9262686616628368</v>
      </c>
      <c r="AR31" s="1433">
        <v>2029</v>
      </c>
      <c r="AS31" s="1435">
        <f t="shared" si="32"/>
        <v>1.1441686783758354</v>
      </c>
      <c r="AT31" s="1436">
        <f t="shared" si="33"/>
        <v>1.1251544508177147</v>
      </c>
      <c r="AU31" s="1436">
        <f t="shared" si="34"/>
        <v>1.11478847556495</v>
      </c>
      <c r="AV31" s="1440">
        <v>1.1453205018890817</v>
      </c>
    </row>
    <row r="32" spans="1:48" s="1284" customFormat="1" ht="15" x14ac:dyDescent="0.25">
      <c r="A32" s="1305">
        <v>2030</v>
      </c>
      <c r="B32" s="1356">
        <f>IF('Mkt Pen Veh-Mi'!B32=0,1,1/((1-Fuel2ShrbyTech!B33)/'Inputs 7&amp;8 Sleep'!$N45+Fuel2ShrbyTech!B33/'Inputs 7&amp;8 Sleep'!$T45))</f>
        <v>8.3087770113204744</v>
      </c>
      <c r="C32" s="1357">
        <f>IF('Mkt Pen Veh-Mi'!C32=0,1,1/((1-Fuel2ShrbyTech!C33)/'Inputs 7&amp;8 Sleep'!$O45+Fuel2ShrbyTech!C33/'Inputs 7&amp;8 Sleep'!$U45))</f>
        <v>9.6349948642165089</v>
      </c>
      <c r="D32" s="1357">
        <f>IF('Mkt Pen Veh-Mi'!D32=0,1,1/((1-Fuel2ShrbyTech!D33)/'Inputs 7&amp;8 Sleep'!$P45+Fuel2ShrbyTech!D33/'Inputs 7&amp;8 Sleep'!$V45))</f>
        <v>9.6917381712134123</v>
      </c>
      <c r="E32" s="1357">
        <f>IF('Mkt Pen Veh-Mi'!E32=0,1,1/((1-Fuel2ShrbyTech!E33)/'Inputs 7&amp;8 Sleep'!$Q45+Fuel2ShrbyTech!E33/'Inputs 7&amp;8 Sleep'!$W45))</f>
        <v>9.7072588297883016</v>
      </c>
      <c r="F32" s="1357">
        <f>IF('Mkt Pen Veh-Mi'!F32=0,1,1/((1-Fuel2ShrbyTech!F33)/'Inputs 7&amp;8 Sleep'!$R45+Fuel2ShrbyTech!F33/'Inputs 7&amp;8 Sleep'!$X45))</f>
        <v>1</v>
      </c>
      <c r="G32" s="1358">
        <f>IF('Mkt Pen Veh-Mi'!G32=0,1,1/((1-Fuel2ShrbyTech!G33)/'Inputs 7&amp;8 Sleep'!$S45+Fuel2ShrbyTech!G33/'Inputs 7&amp;8 Sleep'!$Y45))</f>
        <v>1</v>
      </c>
      <c r="H32" s="1356">
        <f>IF('Mkt Pen Veh-Mi'!H32=0,1,1/((1-Fuel2ShrbyTech!H33)/'Inputs 7&amp;8 Day'!$N45+Fuel2ShrbyTech!H33/'Inputs 7&amp;8 Day'!$T45))</f>
        <v>7.4035444282344596</v>
      </c>
      <c r="I32" s="1357">
        <f>IF('Mkt Pen Veh-Mi'!I32=0,1,1/((1-Fuel2ShrbyTech!I33)/'Inputs 7&amp;8 Day'!$O45+Fuel2ShrbyTech!I33/'Inputs 7&amp;8 Day'!$U45))</f>
        <v>8.6968437936002569</v>
      </c>
      <c r="J32" s="1357">
        <f>IF('Mkt Pen Veh-Mi'!J32=0,1,1/((1-Fuel2ShrbyTech!J33)/'Inputs 7&amp;8 Day'!$P45+Fuel2ShrbyTech!J33/'Inputs 7&amp;8 Day'!$V45))</f>
        <v>8.7452045561759437</v>
      </c>
      <c r="K32" s="1357">
        <f>IF('Mkt Pen Veh-Mi'!K32=0,1,1/((1-Fuel2ShrbyTech!K33)/'Inputs 7&amp;8 Day'!$Q45+Fuel2ShrbyTech!K33/'Inputs 7&amp;8 Day'!$W45))</f>
        <v>1</v>
      </c>
      <c r="L32" s="1357">
        <f>IF('Mkt Pen Veh-Mi'!L32=0,1,1/((1-Fuel2ShrbyTech!L33)/'Inputs 7&amp;8 Day'!$R45+Fuel2ShrbyTech!L33/'Inputs 7&amp;8 Day'!$X45))</f>
        <v>1</v>
      </c>
      <c r="M32" s="1358">
        <f>IF('Mkt Pen Veh-Mi'!M32=0,1,1/((1-Fuel2ShrbyTech!M33)/'Inputs 7&amp;8 Day'!$S45+Fuel2ShrbyTech!M33/'Inputs 7&amp;8 Day'!$Y45))</f>
        <v>1</v>
      </c>
      <c r="N32" s="1356">
        <f>IF('Mkt Pen Veh-Mi'!N32=0,1,1/((1-Fuel2ShrbyTech!N33)/'Inputs 7&amp;8 SU'!$N45+Fuel2ShrbyTech!N33/'Inputs 7&amp;8 SU'!$T45))</f>
        <v>8.1418309302354928</v>
      </c>
      <c r="O32" s="1357">
        <f>IF('Mkt Pen Veh-Mi'!O32=0,1,1/((1-Fuel2ShrbyTech!O33)/'Inputs 7&amp;8 SU'!$O45+Fuel2ShrbyTech!O33/'Inputs 7&amp;8 SU'!$U45))</f>
        <v>9.6391212325295701</v>
      </c>
      <c r="P32" s="1357">
        <f>IF('Mkt Pen Veh-Mi'!P32=0,1,1/((1-Fuel2ShrbyTech!P33)/'Inputs 7&amp;8 SU'!$P45+Fuel2ShrbyTech!P33/'Inputs 7&amp;8 SU'!$V45))</f>
        <v>10.216511802190341</v>
      </c>
      <c r="Q32" s="1357">
        <f>IF('Mkt Pen Veh-Mi'!Q32=0,1,1/((1-Fuel2ShrbyTech!Q33)/'Inputs 7&amp;8 SU'!$Q45+Fuel2ShrbyTech!Q33/'Inputs 7&amp;8 SU'!$W45))</f>
        <v>10.953068094460582</v>
      </c>
      <c r="R32" s="1357">
        <f>IF('Mkt Pen Veh-Mi'!R32=0,1,1/((1-Fuel2ShrbyTech!R33)/'Inputs 7&amp;8 SU'!$R45+Fuel2ShrbyTech!R33/'Inputs 7&amp;8 SU'!$X45))</f>
        <v>12.818277733376087</v>
      </c>
      <c r="S32" s="1358">
        <f>IF('Mkt Pen Veh-Mi'!S32=0,1,1/((1-Fuel2ShrbyTech!S33)/'Inputs 7&amp;8 SU'!$S45+Fuel2ShrbyTech!S33/'Inputs 7&amp;8 SU'!$Y45))</f>
        <v>1</v>
      </c>
      <c r="U32" s="1305">
        <f t="shared" si="13"/>
        <v>2030</v>
      </c>
      <c r="V32" s="1356">
        <f t="shared" si="14"/>
        <v>8.3087770113204744</v>
      </c>
      <c r="W32" s="1357">
        <f t="shared" si="15"/>
        <v>9.6349948642165089</v>
      </c>
      <c r="X32" s="1357">
        <f t="shared" si="16"/>
        <v>9.6917381712134123</v>
      </c>
      <c r="Y32" s="1357">
        <f t="shared" si="17"/>
        <v>9.7072588297883016</v>
      </c>
      <c r="Z32" s="1357">
        <f t="shared" si="18"/>
        <v>0</v>
      </c>
      <c r="AA32" s="1358">
        <f t="shared" si="19"/>
        <v>0</v>
      </c>
      <c r="AB32" s="1356">
        <f t="shared" si="20"/>
        <v>7.4035444282344596</v>
      </c>
      <c r="AC32" s="1357">
        <f t="shared" si="21"/>
        <v>8.6968437936002569</v>
      </c>
      <c r="AD32" s="1357">
        <f t="shared" si="22"/>
        <v>8.7452045561759437</v>
      </c>
      <c r="AE32" s="1357">
        <f t="shared" si="23"/>
        <v>0</v>
      </c>
      <c r="AF32" s="1357">
        <f t="shared" si="24"/>
        <v>0</v>
      </c>
      <c r="AG32" s="1358">
        <f t="shared" si="25"/>
        <v>0</v>
      </c>
      <c r="AH32" s="1356">
        <f t="shared" si="26"/>
        <v>8.1418309302354928</v>
      </c>
      <c r="AI32" s="1357">
        <f t="shared" si="27"/>
        <v>9.6391212325295701</v>
      </c>
      <c r="AJ32" s="1357">
        <f t="shared" si="28"/>
        <v>10.216511802190341</v>
      </c>
      <c r="AK32" s="1357">
        <f t="shared" si="29"/>
        <v>10.953068094460582</v>
      </c>
      <c r="AL32" s="1357">
        <f t="shared" si="30"/>
        <v>12.818277733376087</v>
      </c>
      <c r="AM32" s="1358">
        <f t="shared" si="31"/>
        <v>0</v>
      </c>
      <c r="AN32" s="1284">
        <v>2030</v>
      </c>
      <c r="AO32" s="1435">
        <f t="array" ref="AO32">1/SUMPRODUCT(IFERROR(1/V32:AA32,0),'Mkt Pen Veh-Mi'!B32:G32)</f>
        <v>9.6343532928443363</v>
      </c>
      <c r="AP32" s="1436">
        <f t="array" ref="AP32">1/SUMPRODUCT(IFERROR(1/AB32:AG32,0),'Mkt Pen Veh-Mi'!H32:M32)</f>
        <v>8.4484892779120457</v>
      </c>
      <c r="AQ32" s="1440">
        <f t="array" ref="AQ32">1/SUMPRODUCT(IFERROR(1/AH32:AM32,0),'Mkt Pen Veh-Mi'!N32:S32)</f>
        <v>9.197043621732373</v>
      </c>
      <c r="AR32" s="1433">
        <v>2030</v>
      </c>
      <c r="AS32" s="1435">
        <f t="shared" si="32"/>
        <v>1.1595392775275835</v>
      </c>
      <c r="AT32" s="1436">
        <f t="shared" si="33"/>
        <v>1.1411411601303481</v>
      </c>
      <c r="AU32" s="1436">
        <f t="shared" si="34"/>
        <v>1.1296038569872833</v>
      </c>
      <c r="AV32" s="1440">
        <v>1.1812981817033279</v>
      </c>
    </row>
    <row r="33" spans="1:48" s="1284" customFormat="1" ht="15" x14ac:dyDescent="0.25">
      <c r="A33" s="1299">
        <v>2031</v>
      </c>
      <c r="B33" s="1359">
        <f>IF('Mkt Pen Veh-Mi'!B33=0,1,1/((1-Fuel2ShrbyTech!B34)/'Inputs 7&amp;8 Sleep'!$N46+Fuel2ShrbyTech!B34/'Inputs 7&amp;8 Sleep'!$T46))</f>
        <v>8.3194411555212824</v>
      </c>
      <c r="C33" s="1360">
        <f>IF('Mkt Pen Veh-Mi'!C33=0,1,1/((1-Fuel2ShrbyTech!C34)/'Inputs 7&amp;8 Sleep'!$O46+Fuel2ShrbyTech!C34/'Inputs 7&amp;8 Sleep'!$U46))</f>
        <v>9.6473611817222089</v>
      </c>
      <c r="D33" s="1360">
        <f>IF('Mkt Pen Veh-Mi'!D33=0,1,1/((1-Fuel2ShrbyTech!D34)/'Inputs 7&amp;8 Sleep'!$P46+Fuel2ShrbyTech!D34/'Inputs 7&amp;8 Sleep'!$V46))</f>
        <v>9.7041773175851933</v>
      </c>
      <c r="E33" s="1360">
        <f>IF('Mkt Pen Veh-Mi'!E33=0,1,1/((1-Fuel2ShrbyTech!E34)/'Inputs 7&amp;8 Sleep'!$Q46+Fuel2ShrbyTech!E34/'Inputs 7&amp;8 Sleep'!$W46))</f>
        <v>9.8915661322679789</v>
      </c>
      <c r="F33" s="1360">
        <f>IF('Mkt Pen Veh-Mi'!F33=0,1,1/((1-Fuel2ShrbyTech!F34)/'Inputs 7&amp;8 Sleep'!$R46+Fuel2ShrbyTech!F34/'Inputs 7&amp;8 Sleep'!$X46))</f>
        <v>1</v>
      </c>
      <c r="G33" s="1361">
        <f>IF('Mkt Pen Veh-Mi'!G33=0,1,1/((1-Fuel2ShrbyTech!G34)/'Inputs 7&amp;8 Sleep'!$S46+Fuel2ShrbyTech!G34/'Inputs 7&amp;8 Sleep'!$Y46))</f>
        <v>1</v>
      </c>
      <c r="H33" s="1359">
        <f>IF('Mkt Pen Veh-Mi'!H33=0,1,1/((1-Fuel2ShrbyTech!H34)/'Inputs 7&amp;8 Day'!$N46+Fuel2ShrbyTech!H34/'Inputs 7&amp;8 Day'!$T46))</f>
        <v>7.4076920133592798</v>
      </c>
      <c r="I33" s="1360">
        <f>IF('Mkt Pen Veh-Mi'!I33=0,1,1/((1-Fuel2ShrbyTech!I34)/'Inputs 7&amp;8 Day'!$O46+Fuel2ShrbyTech!I34/'Inputs 7&amp;8 Day'!$U46))</f>
        <v>8.7017159059109055</v>
      </c>
      <c r="J33" s="1360">
        <f>IF('Mkt Pen Veh-Mi'!J33=0,1,1/((1-Fuel2ShrbyTech!J34)/'Inputs 7&amp;8 Day'!$P46+Fuel2ShrbyTech!J34/'Inputs 7&amp;8 Day'!$V46))</f>
        <v>8.7501037609666099</v>
      </c>
      <c r="K33" s="1360">
        <f>IF('Mkt Pen Veh-Mi'!K33=0,1,1/((1-Fuel2ShrbyTech!K34)/'Inputs 7&amp;8 Day'!$Q46+Fuel2ShrbyTech!K34/'Inputs 7&amp;8 Day'!$W46))</f>
        <v>9.0211576993094784</v>
      </c>
      <c r="L33" s="1360">
        <f>IF('Mkt Pen Veh-Mi'!L33=0,1,1/((1-Fuel2ShrbyTech!L34)/'Inputs 7&amp;8 Day'!$R46+Fuel2ShrbyTech!L34/'Inputs 7&amp;8 Day'!$X46))</f>
        <v>1</v>
      </c>
      <c r="M33" s="1361">
        <f>IF('Mkt Pen Veh-Mi'!M33=0,1,1/((1-Fuel2ShrbyTech!M34)/'Inputs 7&amp;8 Day'!$S46+Fuel2ShrbyTech!M34/'Inputs 7&amp;8 Day'!$Y46))</f>
        <v>1</v>
      </c>
      <c r="N33" s="1359">
        <f>IF('Mkt Pen Veh-Mi'!N33=0,1,1/((1-Fuel2ShrbyTech!N34)/'Inputs 7&amp;8 SU'!$N46+Fuel2ShrbyTech!N34/'Inputs 7&amp;8 SU'!$T46))</f>
        <v>8.1580575988836124</v>
      </c>
      <c r="O33" s="1360">
        <f>IF('Mkt Pen Veh-Mi'!O33=0,1,1/((1-Fuel2ShrbyTech!O34)/'Inputs 7&amp;8 SU'!$O46+Fuel2ShrbyTech!O34/'Inputs 7&amp;8 SU'!$U46))</f>
        <v>9.6583320006773654</v>
      </c>
      <c r="P33" s="1360">
        <f>IF('Mkt Pen Veh-Mi'!P33=0,1,1/((1-Fuel2ShrbyTech!P34)/'Inputs 7&amp;8 SU'!$P46+Fuel2ShrbyTech!P34/'Inputs 7&amp;8 SU'!$V46))</f>
        <v>10.236873309715401</v>
      </c>
      <c r="Q33" s="1360">
        <f>IF('Mkt Pen Veh-Mi'!Q33=0,1,1/((1-Fuel2ShrbyTech!Q34)/'Inputs 7&amp;8 SU'!$Q46+Fuel2ShrbyTech!Q34/'Inputs 7&amp;8 SU'!$W46))</f>
        <v>11.085153665361142</v>
      </c>
      <c r="R33" s="1360">
        <f>IF('Mkt Pen Veh-Mi'!R33=0,1,1/((1-Fuel2ShrbyTech!R34)/'Inputs 7&amp;8 SU'!$R46+Fuel2ShrbyTech!R34/'Inputs 7&amp;8 SU'!$X46))</f>
        <v>13.160479208943428</v>
      </c>
      <c r="S33" s="1361">
        <f>IF('Mkt Pen Veh-Mi'!S33=0,1,1/((1-Fuel2ShrbyTech!S34)/'Inputs 7&amp;8 SU'!$S46+Fuel2ShrbyTech!S34/'Inputs 7&amp;8 SU'!$Y46))</f>
        <v>1</v>
      </c>
      <c r="U33" s="1299">
        <f t="shared" si="13"/>
        <v>2031</v>
      </c>
      <c r="V33" s="1359">
        <f t="shared" si="14"/>
        <v>8.3194411555212824</v>
      </c>
      <c r="W33" s="1360">
        <f t="shared" si="15"/>
        <v>9.6473611817222089</v>
      </c>
      <c r="X33" s="1360">
        <f t="shared" si="16"/>
        <v>9.7041773175851933</v>
      </c>
      <c r="Y33" s="1360">
        <f t="shared" si="17"/>
        <v>9.8915661322679789</v>
      </c>
      <c r="Z33" s="1360">
        <f t="shared" si="18"/>
        <v>0</v>
      </c>
      <c r="AA33" s="1361">
        <f t="shared" si="19"/>
        <v>0</v>
      </c>
      <c r="AB33" s="1359">
        <f t="shared" si="20"/>
        <v>7.4076920133592798</v>
      </c>
      <c r="AC33" s="1360">
        <f t="shared" si="21"/>
        <v>8.7017159059109055</v>
      </c>
      <c r="AD33" s="1360">
        <f t="shared" si="22"/>
        <v>8.7501037609666099</v>
      </c>
      <c r="AE33" s="1360">
        <f t="shared" si="23"/>
        <v>9.0211576993094784</v>
      </c>
      <c r="AF33" s="1360">
        <f t="shared" si="24"/>
        <v>0</v>
      </c>
      <c r="AG33" s="1361">
        <f t="shared" si="25"/>
        <v>0</v>
      </c>
      <c r="AH33" s="1359">
        <f t="shared" si="26"/>
        <v>8.1580575988836124</v>
      </c>
      <c r="AI33" s="1360">
        <f t="shared" si="27"/>
        <v>9.6583320006773654</v>
      </c>
      <c r="AJ33" s="1360">
        <f t="shared" si="28"/>
        <v>10.236873309715401</v>
      </c>
      <c r="AK33" s="1360">
        <f t="shared" si="29"/>
        <v>11.085153665361142</v>
      </c>
      <c r="AL33" s="1360">
        <f t="shared" si="30"/>
        <v>13.160479208943428</v>
      </c>
      <c r="AM33" s="1361">
        <f t="shared" si="31"/>
        <v>0</v>
      </c>
      <c r="AN33" s="1284">
        <v>2031</v>
      </c>
      <c r="AO33" s="1435">
        <f t="array" ref="AO33">1/SUMPRODUCT(IFERROR(1/V33:AA33,0),'Mkt Pen Veh-Mi'!B33:G33)</f>
        <v>9.692290594343909</v>
      </c>
      <c r="AP33" s="1436">
        <f t="array" ref="AP33">1/SUMPRODUCT(IFERROR(1/AB33:AG33,0),'Mkt Pen Veh-Mi'!H33:M33)</f>
        <v>8.4558133921518248</v>
      </c>
      <c r="AQ33" s="1440">
        <f t="array" ref="AQ33">1/SUMPRODUCT(IFERROR(1/AH33:AM33,0),'Mkt Pen Veh-Mi'!N33:S33)</f>
        <v>9.2357055817178235</v>
      </c>
      <c r="AR33" s="1433">
        <v>2031</v>
      </c>
      <c r="AS33" s="1435">
        <f t="shared" si="32"/>
        <v>1.1650170261630519</v>
      </c>
      <c r="AT33" s="1436">
        <f t="shared" si="33"/>
        <v>1.1414909497995229</v>
      </c>
      <c r="AU33" s="1436">
        <f t="shared" si="34"/>
        <v>1.1320961478602065</v>
      </c>
      <c r="AV33" s="1440">
        <v>1.2181775878152028</v>
      </c>
    </row>
    <row r="34" spans="1:48" s="1284" customFormat="1" ht="15" x14ac:dyDescent="0.25">
      <c r="A34" s="1299">
        <v>2032</v>
      </c>
      <c r="B34" s="1353">
        <f>IF('Mkt Pen Veh-Mi'!B34=0,1,1/((1-Fuel2ShrbyTech!B35)/'Inputs 7&amp;8 Sleep'!$N47+Fuel2ShrbyTech!B35/'Inputs 7&amp;8 Sleep'!$T47))</f>
        <v>8.3301052997220904</v>
      </c>
      <c r="C34" s="1354">
        <f>IF('Mkt Pen Veh-Mi'!C34=0,1,1/((1-Fuel2ShrbyTech!C35)/'Inputs 7&amp;8 Sleep'!$O47+Fuel2ShrbyTech!C35/'Inputs 7&amp;8 Sleep'!$U47))</f>
        <v>9.659727499227909</v>
      </c>
      <c r="D34" s="1354">
        <f>IF('Mkt Pen Veh-Mi'!D34=0,1,1/((1-Fuel2ShrbyTech!D35)/'Inputs 7&amp;8 Sleep'!$P47+Fuel2ShrbyTech!D35/'Inputs 7&amp;8 Sleep'!$V47))</f>
        <v>9.7166164639569725</v>
      </c>
      <c r="E34" s="1354">
        <f>IF('Mkt Pen Veh-Mi'!E34=0,1,1/((1-Fuel2ShrbyTech!E35)/'Inputs 7&amp;8 Sleep'!$Q47+Fuel2ShrbyTech!E35/'Inputs 7&amp;8 Sleep'!$W47))</f>
        <v>10.076313996639133</v>
      </c>
      <c r="F34" s="1354">
        <f>IF('Mkt Pen Veh-Mi'!F34=0,1,1/((1-Fuel2ShrbyTech!F35)/'Inputs 7&amp;8 Sleep'!$R47+Fuel2ShrbyTech!F35/'Inputs 7&amp;8 Sleep'!$X47))</f>
        <v>1</v>
      </c>
      <c r="G34" s="1355">
        <f>IF('Mkt Pen Veh-Mi'!G34=0,1,1/((1-Fuel2ShrbyTech!G35)/'Inputs 7&amp;8 Sleep'!$S47+Fuel2ShrbyTech!G35/'Inputs 7&amp;8 Sleep'!$Y47))</f>
        <v>1</v>
      </c>
      <c r="H34" s="1353">
        <f>IF('Mkt Pen Veh-Mi'!H34=0,1,1/((1-Fuel2ShrbyTech!H35)/'Inputs 7&amp;8 Day'!$N47+Fuel2ShrbyTech!H35/'Inputs 7&amp;8 Day'!$T47))</f>
        <v>7.411839598484101</v>
      </c>
      <c r="I34" s="1354">
        <f>IF('Mkt Pen Veh-Mi'!I34=0,1,1/((1-Fuel2ShrbyTech!I35)/'Inputs 7&amp;8 Day'!$O47+Fuel2ShrbyTech!I35/'Inputs 7&amp;8 Day'!$U47))</f>
        <v>8.7065880182215523</v>
      </c>
      <c r="J34" s="1354">
        <f>IF('Mkt Pen Veh-Mi'!J34=0,1,1/((1-Fuel2ShrbyTech!J35)/'Inputs 7&amp;8 Day'!$P47+Fuel2ShrbyTech!J35/'Inputs 7&amp;8 Day'!$V47))</f>
        <v>8.7550029657572761</v>
      </c>
      <c r="K34" s="1354">
        <f>IF('Mkt Pen Veh-Mi'!K34=0,1,1/((1-Fuel2ShrbyTech!K35)/'Inputs 7&amp;8 Day'!$Q47+Fuel2ShrbyTech!K35/'Inputs 7&amp;8 Day'!$W47))</f>
        <v>9.2376765011546365</v>
      </c>
      <c r="L34" s="1354">
        <f>IF('Mkt Pen Veh-Mi'!L34=0,1,1/((1-Fuel2ShrbyTech!L35)/'Inputs 7&amp;8 Day'!$R47+Fuel2ShrbyTech!L35/'Inputs 7&amp;8 Day'!$X47))</f>
        <v>1</v>
      </c>
      <c r="M34" s="1355">
        <f>IF('Mkt Pen Veh-Mi'!M34=0,1,1/((1-Fuel2ShrbyTech!M35)/'Inputs 7&amp;8 Day'!$S47+Fuel2ShrbyTech!M35/'Inputs 7&amp;8 Day'!$Y47))</f>
        <v>1</v>
      </c>
      <c r="N34" s="1353">
        <f>IF('Mkt Pen Veh-Mi'!N34=0,1,1/((1-Fuel2ShrbyTech!N35)/'Inputs 7&amp;8 SU'!$N47+Fuel2ShrbyTech!N35/'Inputs 7&amp;8 SU'!$T47))</f>
        <v>8.174284267531732</v>
      </c>
      <c r="O34" s="1354">
        <f>IF('Mkt Pen Veh-Mi'!O34=0,1,1/((1-Fuel2ShrbyTech!O35)/'Inputs 7&amp;8 SU'!$O47+Fuel2ShrbyTech!O35/'Inputs 7&amp;8 SU'!$U47))</f>
        <v>9.6775427688251607</v>
      </c>
      <c r="P34" s="1354">
        <f>IF('Mkt Pen Veh-Mi'!P34=0,1,1/((1-Fuel2ShrbyTech!P35)/'Inputs 7&amp;8 SU'!$P47+Fuel2ShrbyTech!P35/'Inputs 7&amp;8 SU'!$V47))</f>
        <v>10.257234817240459</v>
      </c>
      <c r="Q34" s="1354">
        <f>IF('Mkt Pen Veh-Mi'!Q34=0,1,1/((1-Fuel2ShrbyTech!Q35)/'Inputs 7&amp;8 SU'!$Q47+Fuel2ShrbyTech!Q35/'Inputs 7&amp;8 SU'!$W47))</f>
        <v>11.217677842949264</v>
      </c>
      <c r="R34" s="1354">
        <f>IF('Mkt Pen Veh-Mi'!R34=0,1,1/((1-Fuel2ShrbyTech!R35)/'Inputs 7&amp;8 SU'!$R47+Fuel2ShrbyTech!R35/'Inputs 7&amp;8 SU'!$X47))</f>
        <v>13.541475523545705</v>
      </c>
      <c r="S34" s="1355">
        <f>IF('Mkt Pen Veh-Mi'!S34=0,1,1/((1-Fuel2ShrbyTech!S35)/'Inputs 7&amp;8 SU'!$S47+Fuel2ShrbyTech!S35/'Inputs 7&amp;8 SU'!$Y47))</f>
        <v>1</v>
      </c>
      <c r="U34" s="1299">
        <f t="shared" si="13"/>
        <v>2032</v>
      </c>
      <c r="V34" s="1353">
        <f t="shared" si="14"/>
        <v>8.3301052997220904</v>
      </c>
      <c r="W34" s="1354">
        <f t="shared" si="15"/>
        <v>9.659727499227909</v>
      </c>
      <c r="X34" s="1354">
        <f t="shared" si="16"/>
        <v>9.7166164639569725</v>
      </c>
      <c r="Y34" s="1354">
        <f t="shared" si="17"/>
        <v>10.076313996639133</v>
      </c>
      <c r="Z34" s="1354">
        <f t="shared" si="18"/>
        <v>0</v>
      </c>
      <c r="AA34" s="1355">
        <f t="shared" si="19"/>
        <v>0</v>
      </c>
      <c r="AB34" s="1353">
        <f t="shared" si="20"/>
        <v>7.411839598484101</v>
      </c>
      <c r="AC34" s="1354">
        <f t="shared" si="21"/>
        <v>8.7065880182215523</v>
      </c>
      <c r="AD34" s="1354">
        <f t="shared" si="22"/>
        <v>8.7550029657572761</v>
      </c>
      <c r="AE34" s="1354">
        <f t="shared" si="23"/>
        <v>9.2376765011546365</v>
      </c>
      <c r="AF34" s="1354">
        <f t="shared" si="24"/>
        <v>0</v>
      </c>
      <c r="AG34" s="1355">
        <f t="shared" si="25"/>
        <v>0</v>
      </c>
      <c r="AH34" s="1353">
        <f t="shared" si="26"/>
        <v>8.174284267531732</v>
      </c>
      <c r="AI34" s="1354">
        <f t="shared" si="27"/>
        <v>9.6775427688251607</v>
      </c>
      <c r="AJ34" s="1354">
        <f t="shared" si="28"/>
        <v>10.257234817240459</v>
      </c>
      <c r="AK34" s="1354">
        <f t="shared" si="29"/>
        <v>11.217677842949264</v>
      </c>
      <c r="AL34" s="1354">
        <f t="shared" si="30"/>
        <v>13.541475523545705</v>
      </c>
      <c r="AM34" s="1355">
        <f t="shared" si="31"/>
        <v>0</v>
      </c>
      <c r="AN34" s="1284">
        <v>2032</v>
      </c>
      <c r="AO34" s="1435">
        <f t="array" ref="AO34">1/SUMPRODUCT(IFERROR(1/V34:AA34,0),'Mkt Pen Veh-Mi'!B34:G34)</f>
        <v>9.7490950875921243</v>
      </c>
      <c r="AP34" s="1436">
        <f t="array" ref="AP34">1/SUMPRODUCT(IFERROR(1/AB34:AG34,0),'Mkt Pen Veh-Mi'!H34:M34)</f>
        <v>8.4634331045269739</v>
      </c>
      <c r="AQ34" s="1440">
        <f t="array" ref="AQ34">1/SUMPRODUCT(IFERROR(1/AH34:AM34,0),'Mkt Pen Veh-Mi'!N34:S34)</f>
        <v>9.3022754977705038</v>
      </c>
      <c r="AR34" s="1433">
        <v>2032</v>
      </c>
      <c r="AS34" s="1435">
        <f t="shared" si="32"/>
        <v>1.1703447599776888</v>
      </c>
      <c r="AT34" s="1436">
        <f t="shared" si="33"/>
        <v>1.1418802298767972</v>
      </c>
      <c r="AU34" s="1436">
        <f t="shared" si="34"/>
        <v>1.1379926600692314</v>
      </c>
      <c r="AV34" s="1440">
        <v>1.2746723773692126</v>
      </c>
    </row>
    <row r="35" spans="1:48" s="1284" customFormat="1" ht="15" x14ac:dyDescent="0.25">
      <c r="A35" s="1299">
        <v>2033</v>
      </c>
      <c r="B35" s="1353">
        <f>IF('Mkt Pen Veh-Mi'!B35=0,1,1/((1-Fuel2ShrbyTech!B36)/'Inputs 7&amp;8 Sleep'!$N48+Fuel2ShrbyTech!B36/'Inputs 7&amp;8 Sleep'!$T48))</f>
        <v>8.3407694439228983</v>
      </c>
      <c r="C35" s="1354">
        <f>IF('Mkt Pen Veh-Mi'!C35=0,1,1/((1-Fuel2ShrbyTech!C36)/'Inputs 7&amp;8 Sleep'!$O48+Fuel2ShrbyTech!C36/'Inputs 7&amp;8 Sleep'!$U48))</f>
        <v>9.672093816733609</v>
      </c>
      <c r="D35" s="1354">
        <f>IF('Mkt Pen Veh-Mi'!D35=0,1,1/((1-Fuel2ShrbyTech!D36)/'Inputs 7&amp;8 Sleep'!$P48+Fuel2ShrbyTech!D36/'Inputs 7&amp;8 Sleep'!$V48))</f>
        <v>9.7290556103287518</v>
      </c>
      <c r="E35" s="1354">
        <f>IF('Mkt Pen Veh-Mi'!E35=0,1,1/((1-Fuel2ShrbyTech!E36)/'Inputs 7&amp;8 Sleep'!$Q48+Fuel2ShrbyTech!E36/'Inputs 7&amp;8 Sleep'!$W48))</f>
        <v>10.261502422901765</v>
      </c>
      <c r="F35" s="1354">
        <f>IF('Mkt Pen Veh-Mi'!F35=0,1,1/((1-Fuel2ShrbyTech!F36)/'Inputs 7&amp;8 Sleep'!$R48+Fuel2ShrbyTech!F36/'Inputs 7&amp;8 Sleep'!$X48))</f>
        <v>1</v>
      </c>
      <c r="G35" s="1355">
        <f>IF('Mkt Pen Veh-Mi'!G35=0,1,1/((1-Fuel2ShrbyTech!G36)/'Inputs 7&amp;8 Sleep'!$S48+Fuel2ShrbyTech!G36/'Inputs 7&amp;8 Sleep'!$Y48))</f>
        <v>1</v>
      </c>
      <c r="H35" s="1353">
        <f>IF('Mkt Pen Veh-Mi'!H35=0,1,1/((1-Fuel2ShrbyTech!H36)/'Inputs 7&amp;8 Day'!$N48+Fuel2ShrbyTech!H36/'Inputs 7&amp;8 Day'!$T48))</f>
        <v>7.4159871836089231</v>
      </c>
      <c r="I35" s="1354">
        <f>IF('Mkt Pen Veh-Mi'!I35=0,1,1/((1-Fuel2ShrbyTech!I36)/'Inputs 7&amp;8 Day'!$O48+Fuel2ShrbyTech!I36/'Inputs 7&amp;8 Day'!$U48))</f>
        <v>8.7114601305322008</v>
      </c>
      <c r="J35" s="1354">
        <f>IF('Mkt Pen Veh-Mi'!J35=0,1,1/((1-Fuel2ShrbyTech!J36)/'Inputs 7&amp;8 Day'!$P48+Fuel2ShrbyTech!J36/'Inputs 7&amp;8 Day'!$V48))</f>
        <v>8.7599021705479405</v>
      </c>
      <c r="K35" s="1354">
        <f>IF('Mkt Pen Veh-Mi'!K35=0,1,1/((1-Fuel2ShrbyTech!K36)/'Inputs 7&amp;8 Day'!$Q48+Fuel2ShrbyTech!K36/'Inputs 7&amp;8 Day'!$W48))</f>
        <v>9.5157215900136887</v>
      </c>
      <c r="L35" s="1354">
        <f>IF('Mkt Pen Veh-Mi'!L35=0,1,1/((1-Fuel2ShrbyTech!L36)/'Inputs 7&amp;8 Day'!$R48+Fuel2ShrbyTech!L36/'Inputs 7&amp;8 Day'!$X48))</f>
        <v>1</v>
      </c>
      <c r="M35" s="1355">
        <f>IF('Mkt Pen Veh-Mi'!M35=0,1,1/((1-Fuel2ShrbyTech!M36)/'Inputs 7&amp;8 Day'!$S48+Fuel2ShrbyTech!M36/'Inputs 7&amp;8 Day'!$Y48))</f>
        <v>1</v>
      </c>
      <c r="N35" s="1353">
        <f>IF('Mkt Pen Veh-Mi'!N35=0,1,1/((1-Fuel2ShrbyTech!N36)/'Inputs 7&amp;8 SU'!$N48+Fuel2ShrbyTech!N36/'Inputs 7&amp;8 SU'!$T48))</f>
        <v>8.1905109361798498</v>
      </c>
      <c r="O35" s="1354">
        <f>IF('Mkt Pen Veh-Mi'!O35=0,1,1/((1-Fuel2ShrbyTech!O36)/'Inputs 7&amp;8 SU'!$O48+Fuel2ShrbyTech!O36/'Inputs 7&amp;8 SU'!$U48))</f>
        <v>9.6967535369729543</v>
      </c>
      <c r="P35" s="1354">
        <f>IF('Mkt Pen Veh-Mi'!P35=0,1,1/((1-Fuel2ShrbyTech!P36)/'Inputs 7&amp;8 SU'!$P48+Fuel2ShrbyTech!P36/'Inputs 7&amp;8 SU'!$V48))</f>
        <v>10.277596324765515</v>
      </c>
      <c r="Q35" s="1354">
        <f>IF('Mkt Pen Veh-Mi'!Q35=0,1,1/((1-Fuel2ShrbyTech!Q36)/'Inputs 7&amp;8 SU'!$Q48+Fuel2ShrbyTech!Q36/'Inputs 7&amp;8 SU'!$W48))</f>
        <v>11.350640627224942</v>
      </c>
      <c r="R35" s="1354">
        <f>IF('Mkt Pen Veh-Mi'!R35=0,1,1/((1-Fuel2ShrbyTech!R36)/'Inputs 7&amp;8 SU'!$R48+Fuel2ShrbyTech!R36/'Inputs 7&amp;8 SU'!$X48))</f>
        <v>13.994134288441501</v>
      </c>
      <c r="S35" s="1355">
        <f>IF('Mkt Pen Veh-Mi'!S35=0,1,1/((1-Fuel2ShrbyTech!S36)/'Inputs 7&amp;8 SU'!$S48+Fuel2ShrbyTech!S36/'Inputs 7&amp;8 SU'!$Y48))</f>
        <v>1</v>
      </c>
      <c r="U35" s="1299">
        <f t="shared" si="13"/>
        <v>2033</v>
      </c>
      <c r="V35" s="1353">
        <f t="shared" si="14"/>
        <v>8.3407694439228983</v>
      </c>
      <c r="W35" s="1354">
        <f t="shared" si="15"/>
        <v>9.672093816733609</v>
      </c>
      <c r="X35" s="1354">
        <f t="shared" si="16"/>
        <v>9.7290556103287518</v>
      </c>
      <c r="Y35" s="1354">
        <f t="shared" si="17"/>
        <v>10.261502422901765</v>
      </c>
      <c r="Z35" s="1354">
        <f t="shared" si="18"/>
        <v>0</v>
      </c>
      <c r="AA35" s="1355">
        <f t="shared" si="19"/>
        <v>0</v>
      </c>
      <c r="AB35" s="1353">
        <f t="shared" si="20"/>
        <v>7.4159871836089231</v>
      </c>
      <c r="AC35" s="1354">
        <f t="shared" si="21"/>
        <v>8.7114601305322008</v>
      </c>
      <c r="AD35" s="1354">
        <f t="shared" si="22"/>
        <v>8.7599021705479405</v>
      </c>
      <c r="AE35" s="1354">
        <f t="shared" si="23"/>
        <v>9.5157215900136887</v>
      </c>
      <c r="AF35" s="1354">
        <f t="shared" si="24"/>
        <v>0</v>
      </c>
      <c r="AG35" s="1355">
        <f t="shared" si="25"/>
        <v>0</v>
      </c>
      <c r="AH35" s="1353">
        <f t="shared" si="26"/>
        <v>8.1905109361798498</v>
      </c>
      <c r="AI35" s="1354">
        <f t="shared" si="27"/>
        <v>9.6967535369729543</v>
      </c>
      <c r="AJ35" s="1354">
        <f t="shared" si="28"/>
        <v>10.277596324765515</v>
      </c>
      <c r="AK35" s="1354">
        <f t="shared" si="29"/>
        <v>11.350640627224942</v>
      </c>
      <c r="AL35" s="1354">
        <f t="shared" si="30"/>
        <v>13.994134288441501</v>
      </c>
      <c r="AM35" s="1355">
        <f t="shared" si="31"/>
        <v>0</v>
      </c>
      <c r="AN35" s="1284">
        <v>2033</v>
      </c>
      <c r="AO35" s="1435">
        <f t="array" ref="AO35">1/SUMPRODUCT(IFERROR(1/V35:AA35,0),'Mkt Pen Veh-Mi'!B35:G35)</f>
        <v>9.8051996947545508</v>
      </c>
      <c r="AP35" s="1436">
        <f t="array" ref="AP35">1/SUMPRODUCT(IFERROR(1/AB35:AG35,0),'Mkt Pen Veh-Mi'!H35:M35)</f>
        <v>8.47863662202999</v>
      </c>
      <c r="AQ35" s="1440">
        <f t="array" ref="AQ35">1/SUMPRODUCT(IFERROR(1/AH35:AM35,0),'Mkt Pen Veh-Mi'!N35:S35)</f>
        <v>9.3429600852990102</v>
      </c>
      <c r="AR35" s="1433">
        <v>2033</v>
      </c>
      <c r="AS35" s="1435">
        <f t="shared" si="32"/>
        <v>1.1755749587226199</v>
      </c>
      <c r="AT35" s="1436">
        <f t="shared" si="33"/>
        <v>1.14329170373565</v>
      </c>
      <c r="AU35" s="1436">
        <f t="shared" si="34"/>
        <v>1.140705403862958</v>
      </c>
      <c r="AV35" s="1440">
        <v>1.3942553676087848</v>
      </c>
    </row>
    <row r="36" spans="1:48" s="1284" customFormat="1" ht="15" x14ac:dyDescent="0.25">
      <c r="A36" s="1299">
        <v>2034</v>
      </c>
      <c r="B36" s="1353">
        <f>IF('Mkt Pen Veh-Mi'!B36=0,1,1/((1-Fuel2ShrbyTech!B37)/'Inputs 7&amp;8 Sleep'!$N49+Fuel2ShrbyTech!B37/'Inputs 7&amp;8 Sleep'!$T49))</f>
        <v>8.3514335881237045</v>
      </c>
      <c r="C36" s="1354">
        <f>IF('Mkt Pen Veh-Mi'!C36=0,1,1/((1-Fuel2ShrbyTech!C37)/'Inputs 7&amp;8 Sleep'!$O49+Fuel2ShrbyTech!C37/'Inputs 7&amp;8 Sleep'!$U49))</f>
        <v>9.6844601342393055</v>
      </c>
      <c r="D36" s="1354">
        <f>IF('Mkt Pen Veh-Mi'!D36=0,1,1/((1-Fuel2ShrbyTech!D37)/'Inputs 7&amp;8 Sleep'!$P49+Fuel2ShrbyTech!D37/'Inputs 7&amp;8 Sleep'!$V49))</f>
        <v>9.7414947567005292</v>
      </c>
      <c r="E36" s="1354">
        <f>IF('Mkt Pen Veh-Mi'!E36=0,1,1/((1-Fuel2ShrbyTech!E37)/'Inputs 7&amp;8 Sleep'!$Q49+Fuel2ShrbyTech!E37/'Inputs 7&amp;8 Sleep'!$W49))</f>
        <v>10.447131411055873</v>
      </c>
      <c r="F36" s="1354">
        <f>IF('Mkt Pen Veh-Mi'!F36=0,1,1/((1-Fuel2ShrbyTech!F37)/'Inputs 7&amp;8 Sleep'!$R49+Fuel2ShrbyTech!F37/'Inputs 7&amp;8 Sleep'!$X49))</f>
        <v>1</v>
      </c>
      <c r="G36" s="1355">
        <f>IF('Mkt Pen Veh-Mi'!G36=0,1,1/((1-Fuel2ShrbyTech!G37)/'Inputs 7&amp;8 Sleep'!$S49+Fuel2ShrbyTech!G37/'Inputs 7&amp;8 Sleep'!$Y49))</f>
        <v>1</v>
      </c>
      <c r="H36" s="1353">
        <f>IF('Mkt Pen Veh-Mi'!H36=0,1,1/((1-Fuel2ShrbyTech!H37)/'Inputs 7&amp;8 Day'!$N49+Fuel2ShrbyTech!H37/'Inputs 7&amp;8 Day'!$T49))</f>
        <v>7.4201347687337433</v>
      </c>
      <c r="I36" s="1354">
        <f>IF('Mkt Pen Veh-Mi'!I36=0,1,1/((1-Fuel2ShrbyTech!I37)/'Inputs 7&amp;8 Day'!$O49+Fuel2ShrbyTech!I37/'Inputs 7&amp;8 Day'!$U49))</f>
        <v>8.7163322428428476</v>
      </c>
      <c r="J36" s="1354">
        <f>IF('Mkt Pen Veh-Mi'!J36=0,1,1/((1-Fuel2ShrbyTech!J37)/'Inputs 7&amp;8 Day'!$P49+Fuel2ShrbyTech!J37/'Inputs 7&amp;8 Day'!$V49))</f>
        <v>8.7648013753386049</v>
      </c>
      <c r="K36" s="1354">
        <f>IF('Mkt Pen Veh-Mi'!K36=0,1,1/((1-Fuel2ShrbyTech!K37)/'Inputs 7&amp;8 Day'!$Q49+Fuel2ShrbyTech!K37/'Inputs 7&amp;8 Day'!$W49))</f>
        <v>9.8508641839264293</v>
      </c>
      <c r="L36" s="1354">
        <f>IF('Mkt Pen Veh-Mi'!L36=0,1,1/((1-Fuel2ShrbyTech!L37)/'Inputs 7&amp;8 Day'!$R49+Fuel2ShrbyTech!L37/'Inputs 7&amp;8 Day'!$X49))</f>
        <v>1</v>
      </c>
      <c r="M36" s="1355">
        <f>IF('Mkt Pen Veh-Mi'!M36=0,1,1/((1-Fuel2ShrbyTech!M37)/'Inputs 7&amp;8 Day'!$S49+Fuel2ShrbyTech!M37/'Inputs 7&amp;8 Day'!$Y49))</f>
        <v>1</v>
      </c>
      <c r="N36" s="1353">
        <f>IF('Mkt Pen Veh-Mi'!N36=0,1,1/((1-Fuel2ShrbyTech!N37)/'Inputs 7&amp;8 SU'!$N49+Fuel2ShrbyTech!N37/'Inputs 7&amp;8 SU'!$T49))</f>
        <v>8.2067376048279677</v>
      </c>
      <c r="O36" s="1354">
        <f>IF('Mkt Pen Veh-Mi'!O36=0,1,1/((1-Fuel2ShrbyTech!O37)/'Inputs 7&amp;8 SU'!$O49+Fuel2ShrbyTech!O37/'Inputs 7&amp;8 SU'!$U49))</f>
        <v>9.7159643051207478</v>
      </c>
      <c r="P36" s="1354">
        <f>IF('Mkt Pen Veh-Mi'!P36=0,1,1/((1-Fuel2ShrbyTech!P37)/'Inputs 7&amp;8 SU'!$P49+Fuel2ShrbyTech!P37/'Inputs 7&amp;8 SU'!$V49))</f>
        <v>10.297957832290571</v>
      </c>
      <c r="Q36" s="1354">
        <f>IF('Mkt Pen Veh-Mi'!Q36=0,1,1/((1-Fuel2ShrbyTech!Q37)/'Inputs 7&amp;8 SU'!$Q49+Fuel2ShrbyTech!Q37/'Inputs 7&amp;8 SU'!$W49))</f>
        <v>11.484042018188184</v>
      </c>
      <c r="R36" s="1354">
        <f>IF('Mkt Pen Veh-Mi'!R36=0,1,1/((1-Fuel2ShrbyTech!R37)/'Inputs 7&amp;8 SU'!$R49+Fuel2ShrbyTech!R37/'Inputs 7&amp;8 SU'!$X49))</f>
        <v>14.490993623073321</v>
      </c>
      <c r="S36" s="1355">
        <f>IF('Mkt Pen Veh-Mi'!S36=0,1,1/((1-Fuel2ShrbyTech!S37)/'Inputs 7&amp;8 SU'!$S49+Fuel2ShrbyTech!S37/'Inputs 7&amp;8 SU'!$Y49))</f>
        <v>1</v>
      </c>
      <c r="U36" s="1299">
        <f t="shared" si="13"/>
        <v>2034</v>
      </c>
      <c r="V36" s="1353">
        <f t="shared" si="14"/>
        <v>8.3514335881237045</v>
      </c>
      <c r="W36" s="1354">
        <f t="shared" si="15"/>
        <v>9.6844601342393055</v>
      </c>
      <c r="X36" s="1354">
        <f t="shared" si="16"/>
        <v>9.7414947567005292</v>
      </c>
      <c r="Y36" s="1354">
        <f t="shared" si="17"/>
        <v>10.447131411055873</v>
      </c>
      <c r="Z36" s="1354">
        <f t="shared" si="18"/>
        <v>0</v>
      </c>
      <c r="AA36" s="1355">
        <f t="shared" si="19"/>
        <v>0</v>
      </c>
      <c r="AB36" s="1353">
        <f t="shared" si="20"/>
        <v>7.4201347687337433</v>
      </c>
      <c r="AC36" s="1354">
        <f t="shared" si="21"/>
        <v>8.7163322428428476</v>
      </c>
      <c r="AD36" s="1354">
        <f t="shared" si="22"/>
        <v>8.7648013753386049</v>
      </c>
      <c r="AE36" s="1354">
        <f t="shared" si="23"/>
        <v>9.8508641839264293</v>
      </c>
      <c r="AF36" s="1354">
        <f t="shared" si="24"/>
        <v>0</v>
      </c>
      <c r="AG36" s="1355">
        <f t="shared" si="25"/>
        <v>0</v>
      </c>
      <c r="AH36" s="1353">
        <f t="shared" si="26"/>
        <v>8.2067376048279677</v>
      </c>
      <c r="AI36" s="1354">
        <f t="shared" si="27"/>
        <v>9.7159643051207478</v>
      </c>
      <c r="AJ36" s="1354">
        <f t="shared" si="28"/>
        <v>10.297957832290571</v>
      </c>
      <c r="AK36" s="1354">
        <f t="shared" si="29"/>
        <v>11.484042018188184</v>
      </c>
      <c r="AL36" s="1354">
        <f t="shared" si="30"/>
        <v>14.490993623073321</v>
      </c>
      <c r="AM36" s="1355">
        <f t="shared" si="31"/>
        <v>0</v>
      </c>
      <c r="AN36" s="1284">
        <v>2034</v>
      </c>
      <c r="AO36" s="1435">
        <f t="array" ref="AO36">1/SUMPRODUCT(IFERROR(1/V36:AA36,0),'Mkt Pen Veh-Mi'!B36:G36)</f>
        <v>9.861512430955008</v>
      </c>
      <c r="AP36" s="1436">
        <f t="array" ref="AP36">1/SUMPRODUCT(IFERROR(1/AB36:AG36,0),'Mkt Pen Veh-Mi'!H36:M36)</f>
        <v>8.5016887646484207</v>
      </c>
      <c r="AQ36" s="1440">
        <f t="array" ref="AQ36">1/SUMPRODUCT(IFERROR(1/AH36:AM36,0),'Mkt Pen Veh-Mi'!N36:S36)</f>
        <v>9.3839650048822705</v>
      </c>
      <c r="AR36" s="1433">
        <v>2034</v>
      </c>
      <c r="AS36" s="1435">
        <f t="shared" si="32"/>
        <v>1.1808167216917986</v>
      </c>
      <c r="AT36" s="1436">
        <f t="shared" si="33"/>
        <v>1.1457593466458353</v>
      </c>
      <c r="AU36" s="1436">
        <f t="shared" si="34"/>
        <v>1.1434464529926909</v>
      </c>
      <c r="AV36" s="1440">
        <v>1.5544037088823743</v>
      </c>
    </row>
    <row r="37" spans="1:48" s="1284" customFormat="1" ht="15" x14ac:dyDescent="0.25">
      <c r="A37" s="1305">
        <v>2035</v>
      </c>
      <c r="B37" s="1356">
        <f>IF('Mkt Pen Veh-Mi'!B37=0,1,1/((1-Fuel2ShrbyTech!B38)/'Inputs 7&amp;8 Sleep'!$N50+Fuel2ShrbyTech!B38/'Inputs 7&amp;8 Sleep'!$T50))</f>
        <v>8.3620977323245125</v>
      </c>
      <c r="C37" s="1357">
        <f>IF('Mkt Pen Veh-Mi'!C37=0,1,1/((1-Fuel2ShrbyTech!C38)/'Inputs 7&amp;8 Sleep'!$O50+Fuel2ShrbyTech!C38/'Inputs 7&amp;8 Sleep'!$U50))</f>
        <v>9.6968264517450056</v>
      </c>
      <c r="D37" s="1357">
        <f>IF('Mkt Pen Veh-Mi'!D37=0,1,1/((1-Fuel2ShrbyTech!D38)/'Inputs 7&amp;8 Sleep'!$P50+Fuel2ShrbyTech!D38/'Inputs 7&amp;8 Sleep'!$V50))</f>
        <v>9.7539339030723085</v>
      </c>
      <c r="E37" s="1357">
        <f>IF('Mkt Pen Veh-Mi'!E37=0,1,1/((1-Fuel2ShrbyTech!E38)/'Inputs 7&amp;8 Sleep'!$Q50+Fuel2ShrbyTech!E38/'Inputs 7&amp;8 Sleep'!$W50))</f>
        <v>10.633200961101462</v>
      </c>
      <c r="F37" s="1357">
        <f>IF('Mkt Pen Veh-Mi'!F37=0,1,1/((1-Fuel2ShrbyTech!F38)/'Inputs 7&amp;8 Sleep'!$R50+Fuel2ShrbyTech!F38/'Inputs 7&amp;8 Sleep'!$X50))</f>
        <v>1</v>
      </c>
      <c r="G37" s="1358">
        <f>IF('Mkt Pen Veh-Mi'!G37=0,1,1/((1-Fuel2ShrbyTech!G38)/'Inputs 7&amp;8 Sleep'!$S50+Fuel2ShrbyTech!G38/'Inputs 7&amp;8 Sleep'!$Y50))</f>
        <v>1</v>
      </c>
      <c r="H37" s="1356">
        <f>IF('Mkt Pen Veh-Mi'!H37=0,1,1/((1-Fuel2ShrbyTech!H38)/'Inputs 7&amp;8 Day'!$N50+Fuel2ShrbyTech!H38/'Inputs 7&amp;8 Day'!$T50))</f>
        <v>7.4242823538585627</v>
      </c>
      <c r="I37" s="1357">
        <f>IF('Mkt Pen Veh-Mi'!I37=0,1,1/((1-Fuel2ShrbyTech!I38)/'Inputs 7&amp;8 Day'!$O50+Fuel2ShrbyTech!I38/'Inputs 7&amp;8 Day'!$U50))</f>
        <v>8.7212043551534943</v>
      </c>
      <c r="J37" s="1357">
        <f>IF('Mkt Pen Veh-Mi'!J37=0,1,1/((1-Fuel2ShrbyTech!J38)/'Inputs 7&amp;8 Day'!$P50+Fuel2ShrbyTech!J38/'Inputs 7&amp;8 Day'!$V50))</f>
        <v>8.7697005801292711</v>
      </c>
      <c r="K37" s="1357">
        <f>IF('Mkt Pen Veh-Mi'!K37=0,1,1/((1-Fuel2ShrbyTech!K38)/'Inputs 7&amp;8 Day'!$Q50+Fuel2ShrbyTech!K38/'Inputs 7&amp;8 Day'!$W50))</f>
        <v>10.214603349325852</v>
      </c>
      <c r="L37" s="1357">
        <f>IF('Mkt Pen Veh-Mi'!L37=0,1,1/((1-Fuel2ShrbyTech!L38)/'Inputs 7&amp;8 Day'!$R50+Fuel2ShrbyTech!L38/'Inputs 7&amp;8 Day'!$X50))</f>
        <v>1</v>
      </c>
      <c r="M37" s="1358">
        <f>IF('Mkt Pen Veh-Mi'!M37=0,1,1/((1-Fuel2ShrbyTech!M38)/'Inputs 7&amp;8 Day'!$S50+Fuel2ShrbyTech!M38/'Inputs 7&amp;8 Day'!$Y50))</f>
        <v>1</v>
      </c>
      <c r="N37" s="1356">
        <f>IF('Mkt Pen Veh-Mi'!N37=0,1,1/((1-Fuel2ShrbyTech!N38)/'Inputs 7&amp;8 SU'!$N50+Fuel2ShrbyTech!N38/'Inputs 7&amp;8 SU'!$T50))</f>
        <v>8.2229642734760873</v>
      </c>
      <c r="O37" s="1357">
        <f>IF('Mkt Pen Veh-Mi'!O37=0,1,1/((1-Fuel2ShrbyTech!O38)/'Inputs 7&amp;8 SU'!$O50+Fuel2ShrbyTech!O38/'Inputs 7&amp;8 SU'!$U50))</f>
        <v>9.7351750732685431</v>
      </c>
      <c r="P37" s="1357">
        <f>IF('Mkt Pen Veh-Mi'!P37=0,1,1/((1-Fuel2ShrbyTech!P38)/'Inputs 7&amp;8 SU'!$P50+Fuel2ShrbyTech!P38/'Inputs 7&amp;8 SU'!$V50))</f>
        <v>10.318319339815629</v>
      </c>
      <c r="Q37" s="1357">
        <f>IF('Mkt Pen Veh-Mi'!Q37=0,1,1/((1-Fuel2ShrbyTech!Q38)/'Inputs 7&amp;8 SU'!$Q50+Fuel2ShrbyTech!Q38/'Inputs 7&amp;8 SU'!$W50))</f>
        <v>11.617882015838985</v>
      </c>
      <c r="R37" s="1357">
        <f>IF('Mkt Pen Veh-Mi'!R37=0,1,1/((1-Fuel2ShrbyTech!R38)/'Inputs 7&amp;8 SU'!$R50+Fuel2ShrbyTech!R38/'Inputs 7&amp;8 SU'!$X50))</f>
        <v>15.056959243253495</v>
      </c>
      <c r="S37" s="1358">
        <f>IF('Mkt Pen Veh-Mi'!S37=0,1,1/((1-Fuel2ShrbyTech!S38)/'Inputs 7&amp;8 SU'!$S50+Fuel2ShrbyTech!S38/'Inputs 7&amp;8 SU'!$Y50))</f>
        <v>26.807718307930603</v>
      </c>
      <c r="U37" s="1305">
        <f t="shared" si="13"/>
        <v>2035</v>
      </c>
      <c r="V37" s="1356">
        <f t="shared" si="14"/>
        <v>8.3620977323245125</v>
      </c>
      <c r="W37" s="1357">
        <f t="shared" si="15"/>
        <v>9.6968264517450056</v>
      </c>
      <c r="X37" s="1357">
        <f t="shared" si="16"/>
        <v>9.7539339030723085</v>
      </c>
      <c r="Y37" s="1357">
        <f t="shared" si="17"/>
        <v>10.633200961101462</v>
      </c>
      <c r="Z37" s="1357">
        <f t="shared" si="18"/>
        <v>0</v>
      </c>
      <c r="AA37" s="1358">
        <f t="shared" si="19"/>
        <v>0</v>
      </c>
      <c r="AB37" s="1356">
        <f t="shared" si="20"/>
        <v>7.4242823538585627</v>
      </c>
      <c r="AC37" s="1357">
        <f t="shared" si="21"/>
        <v>8.7212043551534943</v>
      </c>
      <c r="AD37" s="1357">
        <f t="shared" si="22"/>
        <v>8.7697005801292711</v>
      </c>
      <c r="AE37" s="1357">
        <f t="shared" si="23"/>
        <v>10.214603349325852</v>
      </c>
      <c r="AF37" s="1357">
        <f t="shared" si="24"/>
        <v>0</v>
      </c>
      <c r="AG37" s="1358">
        <f t="shared" si="25"/>
        <v>0</v>
      </c>
      <c r="AH37" s="1356">
        <f t="shared" si="26"/>
        <v>8.2229642734760873</v>
      </c>
      <c r="AI37" s="1357">
        <f t="shared" si="27"/>
        <v>9.7351750732685431</v>
      </c>
      <c r="AJ37" s="1357">
        <f t="shared" si="28"/>
        <v>10.318319339815629</v>
      </c>
      <c r="AK37" s="1357">
        <f t="shared" si="29"/>
        <v>11.617882015838985</v>
      </c>
      <c r="AL37" s="1357">
        <f t="shared" si="30"/>
        <v>15.056959243253495</v>
      </c>
      <c r="AM37" s="1358">
        <f t="shared" si="31"/>
        <v>26.807718307930603</v>
      </c>
      <c r="AN37" s="1284">
        <v>2035</v>
      </c>
      <c r="AO37" s="1435">
        <f t="array" ref="AO37">1/SUMPRODUCT(IFERROR(1/V37:AA37,0),'Mkt Pen Veh-Mi'!B37:G37)</f>
        <v>9.9193994833265222</v>
      </c>
      <c r="AP37" s="1436">
        <f t="array" ref="AP37">1/SUMPRODUCT(IFERROR(1/AB37:AG37,0),'Mkt Pen Veh-Mi'!H37:M37)</f>
        <v>8.5590303239081003</v>
      </c>
      <c r="AQ37" s="1440">
        <f t="array" ref="AQ37">1/SUMPRODUCT(IFERROR(1/AH37:AM37,0),'Mkt Pen Veh-Mi'!N37:S37)</f>
        <v>9.4306267522890401</v>
      </c>
      <c r="AR37" s="1433">
        <v>2035</v>
      </c>
      <c r="AS37" s="1441">
        <f t="shared" si="32"/>
        <v>1.1862333831595995</v>
      </c>
      <c r="AT37" s="1442">
        <f t="shared" si="33"/>
        <v>1.152842782098634</v>
      </c>
      <c r="AU37" s="1442">
        <f t="shared" si="34"/>
        <v>1.1468646145901882</v>
      </c>
      <c r="AV37" s="1443">
        <v>1.733471734567664</v>
      </c>
    </row>
    <row r="38" spans="1:48" s="1284" customFormat="1" ht="15" x14ac:dyDescent="0.25">
      <c r="A38" s="1299">
        <v>2036</v>
      </c>
      <c r="B38" s="1359">
        <f>IF('Mkt Pen Veh-Mi'!B38=0,1,1/((1-Fuel2ShrbyTech!B39)/'Inputs 7&amp;8 Sleep'!$N51+Fuel2ShrbyTech!B39/'Inputs 7&amp;8 Sleep'!$T51))</f>
        <v>8.3621425942436112</v>
      </c>
      <c r="C38" s="1360">
        <f>IF('Mkt Pen Veh-Mi'!C38=0,1,1/((1-Fuel2ShrbyTech!C39)/'Inputs 7&amp;8 Sleep'!$O51+Fuel2ShrbyTech!C39/'Inputs 7&amp;8 Sleep'!$U51))</f>
        <v>9.6968784743663274</v>
      </c>
      <c r="D38" s="1360">
        <f>IF('Mkt Pen Veh-Mi'!D38=0,1,1/((1-Fuel2ShrbyTech!D39)/'Inputs 7&amp;8 Sleep'!$P51+Fuel2ShrbyTech!D39/'Inputs 7&amp;8 Sleep'!$V51))</f>
        <v>9.753986232070087</v>
      </c>
      <c r="E38" s="1360">
        <f>IF('Mkt Pen Veh-Mi'!E38=0,1,1/((1-Fuel2ShrbyTech!E39)/'Inputs 7&amp;8 Sleep'!$Q51+Fuel2ShrbyTech!E39/'Inputs 7&amp;8 Sleep'!$W51))</f>
        <v>10.693764198142821</v>
      </c>
      <c r="F38" s="1360">
        <f>IF('Mkt Pen Veh-Mi'!F38=0,1,1/((1-Fuel2ShrbyTech!F39)/'Inputs 7&amp;8 Sleep'!$R51+Fuel2ShrbyTech!F39/'Inputs 7&amp;8 Sleep'!$X51))</f>
        <v>11.574452207195042</v>
      </c>
      <c r="G38" s="1361">
        <f>IF('Mkt Pen Veh-Mi'!G38=0,1,1/((1-Fuel2ShrbyTech!G39)/'Inputs 7&amp;8 Sleep'!$S51+Fuel2ShrbyTech!G39/'Inputs 7&amp;8 Sleep'!$Y51))</f>
        <v>1</v>
      </c>
      <c r="H38" s="1359">
        <f>IF('Mkt Pen Veh-Mi'!H38=0,1,1/((1-Fuel2ShrbyTech!H39)/'Inputs 7&amp;8 Day'!$N51+Fuel2ShrbyTech!H39/'Inputs 7&amp;8 Day'!$T51))</f>
        <v>7.4244190006289514</v>
      </c>
      <c r="I38" s="1360">
        <f>IF('Mkt Pen Veh-Mi'!I38=0,1,1/((1-Fuel2ShrbyTech!I39)/'Inputs 7&amp;8 Day'!$O51+Fuel2ShrbyTech!I39/'Inputs 7&amp;8 Day'!$U51))</f>
        <v>8.7213648722718133</v>
      </c>
      <c r="J38" s="1360">
        <f>IF('Mkt Pen Veh-Mi'!J38=0,1,1/((1-Fuel2ShrbyTech!J39)/'Inputs 7&amp;8 Day'!$P51+Fuel2ShrbyTech!J39/'Inputs 7&amp;8 Day'!$V51))</f>
        <v>8.7698619898392511</v>
      </c>
      <c r="K38" s="1360">
        <f>IF('Mkt Pen Veh-Mi'!K38=0,1,1/((1-Fuel2ShrbyTech!K39)/'Inputs 7&amp;8 Day'!$Q51+Fuel2ShrbyTech!K39/'Inputs 7&amp;8 Day'!$W51))</f>
        <v>10.341774254927827</v>
      </c>
      <c r="L38" s="1360">
        <f>IF('Mkt Pen Veh-Mi'!L38=0,1,1/((1-Fuel2ShrbyTech!L39)/'Inputs 7&amp;8 Day'!$R51+Fuel2ShrbyTech!L39/'Inputs 7&amp;8 Day'!$X51))</f>
        <v>1</v>
      </c>
      <c r="M38" s="1361">
        <f>IF('Mkt Pen Veh-Mi'!M38=0,1,1/((1-Fuel2ShrbyTech!M39)/'Inputs 7&amp;8 Day'!$S51+Fuel2ShrbyTech!M39/'Inputs 7&amp;8 Day'!$Y51))</f>
        <v>10.070013880963067</v>
      </c>
      <c r="N38" s="1359">
        <f>IF('Mkt Pen Veh-Mi'!N38=0,1,1/((1-Fuel2ShrbyTech!N39)/'Inputs 7&amp;8 SU'!$N51+Fuel2ShrbyTech!N39/'Inputs 7&amp;8 SU'!$T51))</f>
        <v>8.2229642734760873</v>
      </c>
      <c r="O38" s="1360">
        <f>IF('Mkt Pen Veh-Mi'!O38=0,1,1/((1-Fuel2ShrbyTech!O39)/'Inputs 7&amp;8 SU'!$O51+Fuel2ShrbyTech!O39/'Inputs 7&amp;8 SU'!$U51))</f>
        <v>9.7351750732685431</v>
      </c>
      <c r="P38" s="1360">
        <f>IF('Mkt Pen Veh-Mi'!P38=0,1,1/((1-Fuel2ShrbyTech!P39)/'Inputs 7&amp;8 SU'!$P51+Fuel2ShrbyTech!P39/'Inputs 7&amp;8 SU'!$V51))</f>
        <v>10.318319339815629</v>
      </c>
      <c r="Q38" s="1360">
        <f>IF('Mkt Pen Veh-Mi'!Q38=0,1,1/((1-Fuel2ShrbyTech!Q39)/'Inputs 7&amp;8 SU'!$Q51+Fuel2ShrbyTech!Q39/'Inputs 7&amp;8 SU'!$W51))</f>
        <v>11.617882015838985</v>
      </c>
      <c r="R38" s="1360">
        <f>IF('Mkt Pen Veh-Mi'!R38=0,1,1/((1-Fuel2ShrbyTech!R39)/'Inputs 7&amp;8 SU'!$R51+Fuel2ShrbyTech!R39/'Inputs 7&amp;8 SU'!$X51))</f>
        <v>15.27496534242008</v>
      </c>
      <c r="S38" s="1361">
        <f>IF('Mkt Pen Veh-Mi'!S38=0,1,1/((1-Fuel2ShrbyTech!S39)/'Inputs 7&amp;8 SU'!$S51+Fuel2ShrbyTech!S39/'Inputs 7&amp;8 SU'!$Y51))</f>
        <v>26.900826502224831</v>
      </c>
      <c r="U38" s="1299">
        <f t="shared" si="13"/>
        <v>2036</v>
      </c>
      <c r="V38" s="1359">
        <f t="shared" si="14"/>
        <v>8.3621425942436112</v>
      </c>
      <c r="W38" s="1360">
        <f t="shared" si="15"/>
        <v>9.6968784743663274</v>
      </c>
      <c r="X38" s="1360">
        <f t="shared" si="16"/>
        <v>9.753986232070087</v>
      </c>
      <c r="Y38" s="1360">
        <f t="shared" si="17"/>
        <v>10.693764198142821</v>
      </c>
      <c r="Z38" s="1360">
        <f t="shared" si="18"/>
        <v>11.574452207195042</v>
      </c>
      <c r="AA38" s="1361">
        <f t="shared" si="19"/>
        <v>0</v>
      </c>
      <c r="AB38" s="1359">
        <f t="shared" si="20"/>
        <v>7.4244190006289514</v>
      </c>
      <c r="AC38" s="1360">
        <f t="shared" si="21"/>
        <v>8.7213648722718133</v>
      </c>
      <c r="AD38" s="1360">
        <f t="shared" si="22"/>
        <v>8.7698619898392511</v>
      </c>
      <c r="AE38" s="1360">
        <f t="shared" si="23"/>
        <v>10.341774254927827</v>
      </c>
      <c r="AF38" s="1360">
        <f t="shared" si="24"/>
        <v>0</v>
      </c>
      <c r="AG38" s="1361">
        <f t="shared" si="25"/>
        <v>10.070013880963067</v>
      </c>
      <c r="AH38" s="1359">
        <f t="shared" si="26"/>
        <v>8.2229642734760873</v>
      </c>
      <c r="AI38" s="1360">
        <f t="shared" si="27"/>
        <v>9.7351750732685431</v>
      </c>
      <c r="AJ38" s="1360">
        <f t="shared" si="28"/>
        <v>10.318319339815629</v>
      </c>
      <c r="AK38" s="1360">
        <f t="shared" si="29"/>
        <v>11.617882015838985</v>
      </c>
      <c r="AL38" s="1360">
        <f t="shared" si="30"/>
        <v>15.27496534242008</v>
      </c>
      <c r="AM38" s="1361">
        <f t="shared" si="31"/>
        <v>26.900826502224831</v>
      </c>
      <c r="AN38" s="1284">
        <v>2036</v>
      </c>
      <c r="AO38" s="1435">
        <f t="array" ref="AO38">1/SUMPRODUCT(IFERROR(1/V38:AA38,0),'Mkt Pen Veh-Mi'!B38:G38)</f>
        <v>9.9367584642755009</v>
      </c>
      <c r="AP38" s="1436">
        <f t="array" ref="AP38">1/SUMPRODUCT(IFERROR(1/AB38:AG38,0),'Mkt Pen Veh-Mi'!H38:M38)</f>
        <v>8.5825106874242412</v>
      </c>
      <c r="AQ38" s="1440">
        <f t="array" ref="AQ38">1/SUMPRODUCT(IFERROR(1/AH38:AM38,0),'Mkt Pen Veh-Mi'!N38:S38)</f>
        <v>9.4345165051186584</v>
      </c>
      <c r="AR38" s="1433">
        <v>2036</v>
      </c>
      <c r="AS38" s="1435">
        <f t="shared" si="32"/>
        <v>1.1883029202486735</v>
      </c>
      <c r="AT38" s="1436">
        <f t="shared" si="33"/>
        <v>1.1559841499647558</v>
      </c>
      <c r="AU38" s="1436">
        <f t="shared" si="34"/>
        <v>1.1473376499458403</v>
      </c>
      <c r="AV38" s="1440">
        <v>1.9033105938350969</v>
      </c>
    </row>
    <row r="39" spans="1:48" s="1284" customFormat="1" ht="15" x14ac:dyDescent="0.25">
      <c r="A39" s="1299">
        <v>2037</v>
      </c>
      <c r="B39" s="1353">
        <f>IF('Mkt Pen Veh-Mi'!B39=0,1,1/((1-Fuel2ShrbyTech!B40)/'Inputs 7&amp;8 Sleep'!$N52+Fuel2ShrbyTech!B40/'Inputs 7&amp;8 Sleep'!$T52))</f>
        <v>8.3621874561627099</v>
      </c>
      <c r="C39" s="1354">
        <f>IF('Mkt Pen Veh-Mi'!C39=0,1,1/((1-Fuel2ShrbyTech!C40)/'Inputs 7&amp;8 Sleep'!$O52+Fuel2ShrbyTech!C40/'Inputs 7&amp;8 Sleep'!$U52))</f>
        <v>9.6969304969876511</v>
      </c>
      <c r="D39" s="1354">
        <f>IF('Mkt Pen Veh-Mi'!D39=0,1,1/((1-Fuel2ShrbyTech!D40)/'Inputs 7&amp;8 Sleep'!$P52+Fuel2ShrbyTech!D40/'Inputs 7&amp;8 Sleep'!$V52))</f>
        <v>9.7540385610678637</v>
      </c>
      <c r="E39" s="1354">
        <f>IF('Mkt Pen Veh-Mi'!E39=0,1,1/((1-Fuel2ShrbyTech!E40)/'Inputs 7&amp;8 Sleep'!$Q52+Fuel2ShrbyTech!E40/'Inputs 7&amp;8 Sleep'!$W52))</f>
        <v>10.754328084401481</v>
      </c>
      <c r="F39" s="1354">
        <f>IF('Mkt Pen Veh-Mi'!F39=0,1,1/((1-Fuel2ShrbyTech!F40)/'Inputs 7&amp;8 Sleep'!$R52+Fuel2ShrbyTech!F40/'Inputs 7&amp;8 Sleep'!$X52))</f>
        <v>11.644840311391864</v>
      </c>
      <c r="G39" s="1355">
        <f>IF('Mkt Pen Veh-Mi'!G39=0,1,1/((1-Fuel2ShrbyTech!G40)/'Inputs 7&amp;8 Sleep'!$S52+Fuel2ShrbyTech!G40/'Inputs 7&amp;8 Sleep'!$Y52))</f>
        <v>10.851294451493438</v>
      </c>
      <c r="H39" s="1353">
        <f>IF('Mkt Pen Veh-Mi'!H39=0,1,1/((1-Fuel2ShrbyTech!H40)/'Inputs 7&amp;8 Day'!$N52+Fuel2ShrbyTech!H40/'Inputs 7&amp;8 Day'!$T52))</f>
        <v>7.4245556473993384</v>
      </c>
      <c r="I39" s="1354">
        <f>IF('Mkt Pen Veh-Mi'!I39=0,1,1/((1-Fuel2ShrbyTech!I40)/'Inputs 7&amp;8 Day'!$O52+Fuel2ShrbyTech!I40/'Inputs 7&amp;8 Day'!$U52))</f>
        <v>8.7215253893901306</v>
      </c>
      <c r="J39" s="1354">
        <f>IF('Mkt Pen Veh-Mi'!J39=0,1,1/((1-Fuel2ShrbyTech!J40)/'Inputs 7&amp;8 Day'!$P52+Fuel2ShrbyTech!J40/'Inputs 7&amp;8 Day'!$V52))</f>
        <v>8.7700233995492312</v>
      </c>
      <c r="K39" s="1354">
        <f>IF('Mkt Pen Veh-Mi'!K39=0,1,1/((1-Fuel2ShrbyTech!K40)/'Inputs 7&amp;8 Day'!$Q52+Fuel2ShrbyTech!K40/'Inputs 7&amp;8 Day'!$W52))</f>
        <v>10.447002235325282</v>
      </c>
      <c r="L39" s="1354">
        <f>IF('Mkt Pen Veh-Mi'!L39=0,1,1/((1-Fuel2ShrbyTech!L40)/'Inputs 7&amp;8 Day'!$R52+Fuel2ShrbyTech!L40/'Inputs 7&amp;8 Day'!$X52))</f>
        <v>1</v>
      </c>
      <c r="M39" s="1355">
        <f>IF('Mkt Pen Veh-Mi'!M39=0,1,1/((1-Fuel2ShrbyTech!M40)/'Inputs 7&amp;8 Day'!$S52+Fuel2ShrbyTech!M40/'Inputs 7&amp;8 Day'!$Y52))</f>
        <v>10.173038877074747</v>
      </c>
      <c r="N39" s="1353">
        <f>IF('Mkt Pen Veh-Mi'!N39=0,1,1/((1-Fuel2ShrbyTech!N40)/'Inputs 7&amp;8 SU'!$N52+Fuel2ShrbyTech!N40/'Inputs 7&amp;8 SU'!$T52))</f>
        <v>8.2229642734760873</v>
      </c>
      <c r="O39" s="1354">
        <f>IF('Mkt Pen Veh-Mi'!O39=0,1,1/((1-Fuel2ShrbyTech!O40)/'Inputs 7&amp;8 SU'!$O52+Fuel2ShrbyTech!O40/'Inputs 7&amp;8 SU'!$U52))</f>
        <v>9.7351750732685431</v>
      </c>
      <c r="P39" s="1354">
        <f>IF('Mkt Pen Veh-Mi'!P39=0,1,1/((1-Fuel2ShrbyTech!P40)/'Inputs 7&amp;8 SU'!$P52+Fuel2ShrbyTech!P40/'Inputs 7&amp;8 SU'!$V52))</f>
        <v>10.318319339815629</v>
      </c>
      <c r="Q39" s="1354">
        <f>IF('Mkt Pen Veh-Mi'!Q39=0,1,1/((1-Fuel2ShrbyTech!Q40)/'Inputs 7&amp;8 SU'!$Q52+Fuel2ShrbyTech!Q40/'Inputs 7&amp;8 SU'!$W52))</f>
        <v>11.617882015838985</v>
      </c>
      <c r="R39" s="1354">
        <f>IF('Mkt Pen Veh-Mi'!R39=0,1,1/((1-Fuel2ShrbyTech!R40)/'Inputs 7&amp;8 SU'!$R52+Fuel2ShrbyTech!R40/'Inputs 7&amp;8 SU'!$X52))</f>
        <v>15.378583096222691</v>
      </c>
      <c r="S39" s="1355">
        <f>IF('Mkt Pen Veh-Mi'!S39=0,1,1/((1-Fuel2ShrbyTech!S40)/'Inputs 7&amp;8 SU'!$S52+Fuel2ShrbyTech!S40/'Inputs 7&amp;8 SU'!$Y52))</f>
        <v>26.993934696519055</v>
      </c>
      <c r="U39" s="1299">
        <f t="shared" si="13"/>
        <v>2037</v>
      </c>
      <c r="V39" s="1353">
        <f t="shared" si="14"/>
        <v>8.3621874561627099</v>
      </c>
      <c r="W39" s="1354">
        <f t="shared" si="15"/>
        <v>9.6969304969876511</v>
      </c>
      <c r="X39" s="1354">
        <f t="shared" si="16"/>
        <v>9.7540385610678637</v>
      </c>
      <c r="Y39" s="1354">
        <f t="shared" si="17"/>
        <v>10.754328084401481</v>
      </c>
      <c r="Z39" s="1354">
        <f t="shared" si="18"/>
        <v>11.644840311391864</v>
      </c>
      <c r="AA39" s="1355">
        <f t="shared" si="19"/>
        <v>10.851294451493438</v>
      </c>
      <c r="AB39" s="1353">
        <f t="shared" si="20"/>
        <v>7.4245556473993384</v>
      </c>
      <c r="AC39" s="1354">
        <f t="shared" si="21"/>
        <v>8.7215253893901306</v>
      </c>
      <c r="AD39" s="1354">
        <f t="shared" si="22"/>
        <v>8.7700233995492312</v>
      </c>
      <c r="AE39" s="1354">
        <f t="shared" si="23"/>
        <v>10.447002235325282</v>
      </c>
      <c r="AF39" s="1354">
        <f t="shared" si="24"/>
        <v>0</v>
      </c>
      <c r="AG39" s="1355">
        <f t="shared" si="25"/>
        <v>10.173038877074747</v>
      </c>
      <c r="AH39" s="1353">
        <f t="shared" si="26"/>
        <v>8.2229642734760873</v>
      </c>
      <c r="AI39" s="1354">
        <f t="shared" si="27"/>
        <v>9.7351750732685431</v>
      </c>
      <c r="AJ39" s="1354">
        <f t="shared" si="28"/>
        <v>10.318319339815629</v>
      </c>
      <c r="AK39" s="1354">
        <f t="shared" si="29"/>
        <v>11.617882015838985</v>
      </c>
      <c r="AL39" s="1354">
        <f t="shared" si="30"/>
        <v>15.378583096222691</v>
      </c>
      <c r="AM39" s="1355">
        <f t="shared" si="31"/>
        <v>26.993934696519055</v>
      </c>
      <c r="AN39" s="1284">
        <v>2037</v>
      </c>
      <c r="AO39" s="1435">
        <f t="array" ref="AO39">1/SUMPRODUCT(IFERROR(1/V39:AA39,0),'Mkt Pen Veh-Mi'!B39:G39)</f>
        <v>9.9507348609707638</v>
      </c>
      <c r="AP39" s="1436">
        <f t="array" ref="AP39">1/SUMPRODUCT(IFERROR(1/AB39:AG39,0),'Mkt Pen Veh-Mi'!H39:M39)</f>
        <v>8.6006655581247351</v>
      </c>
      <c r="AQ39" s="1440">
        <f t="array" ref="AQ39">1/SUMPRODUCT(IFERROR(1/AH39:AM39,0),'Mkt Pen Veh-Mi'!N39:S39)</f>
        <v>9.4372100365144647</v>
      </c>
      <c r="AR39" s="1433">
        <v>2037</v>
      </c>
      <c r="AS39" s="1435">
        <f t="shared" si="32"/>
        <v>1.189967925633781</v>
      </c>
      <c r="AT39" s="1436">
        <f t="shared" si="33"/>
        <v>1.1584081211833011</v>
      </c>
      <c r="AU39" s="1436">
        <f t="shared" si="34"/>
        <v>1.1476652120397794</v>
      </c>
      <c r="AV39" s="1440">
        <v>2.0330617296005014</v>
      </c>
    </row>
    <row r="40" spans="1:48" s="1284" customFormat="1" ht="15" x14ac:dyDescent="0.25">
      <c r="A40" s="1299">
        <v>2038</v>
      </c>
      <c r="B40" s="1353">
        <f>IF('Mkt Pen Veh-Mi'!B40=0,1,1/((1-Fuel2ShrbyTech!B41)/'Inputs 7&amp;8 Sleep'!$N53+Fuel2ShrbyTech!B41/'Inputs 7&amp;8 Sleep'!$T53))</f>
        <v>8.3622323180818086</v>
      </c>
      <c r="C40" s="1354">
        <f>IF('Mkt Pen Veh-Mi'!C40=0,1,1/((1-Fuel2ShrbyTech!C41)/'Inputs 7&amp;8 Sleep'!$O53+Fuel2ShrbyTech!C41/'Inputs 7&amp;8 Sleep'!$U53))</f>
        <v>9.696982519608973</v>
      </c>
      <c r="D40" s="1354">
        <f>IF('Mkt Pen Veh-Mi'!D40=0,1,1/((1-Fuel2ShrbyTech!D41)/'Inputs 7&amp;8 Sleep'!$P53+Fuel2ShrbyTech!D41/'Inputs 7&amp;8 Sleep'!$V53))</f>
        <v>9.7540908900656405</v>
      </c>
      <c r="E40" s="1354">
        <f>IF('Mkt Pen Veh-Mi'!E40=0,1,1/((1-Fuel2ShrbyTech!E41)/'Inputs 7&amp;8 Sleep'!$Q53+Fuel2ShrbyTech!E41/'Inputs 7&amp;8 Sleep'!$W53))</f>
        <v>10.814892619877449</v>
      </c>
      <c r="F40" s="1354">
        <f>IF('Mkt Pen Veh-Mi'!F40=0,1,1/((1-Fuel2ShrbyTech!F41)/'Inputs 7&amp;8 Sleep'!$R53+Fuel2ShrbyTech!F41/'Inputs 7&amp;8 Sleep'!$X53))</f>
        <v>11.722360060727741</v>
      </c>
      <c r="G40" s="1355">
        <f>IF('Mkt Pen Veh-Mi'!G40=0,1,1/((1-Fuel2ShrbyTech!G41)/'Inputs 7&amp;8 Sleep'!$S53+Fuel2ShrbyTech!G41/'Inputs 7&amp;8 Sleep'!$Y53))</f>
        <v>10.95075216566288</v>
      </c>
      <c r="H40" s="1353">
        <f>IF('Mkt Pen Veh-Mi'!H40=0,1,1/((1-Fuel2ShrbyTech!H41)/'Inputs 7&amp;8 Day'!$N53+Fuel2ShrbyTech!H41/'Inputs 7&amp;8 Day'!$T53))</f>
        <v>7.4246922941697271</v>
      </c>
      <c r="I40" s="1354">
        <f>IF('Mkt Pen Veh-Mi'!I40=0,1,1/((1-Fuel2ShrbyTech!I41)/'Inputs 7&amp;8 Day'!$O53+Fuel2ShrbyTech!I41/'Inputs 7&amp;8 Day'!$U53))</f>
        <v>8.7216859065084495</v>
      </c>
      <c r="J40" s="1354">
        <f>IF('Mkt Pen Veh-Mi'!J40=0,1,1/((1-Fuel2ShrbyTech!J41)/'Inputs 7&amp;8 Day'!$P53+Fuel2ShrbyTech!J41/'Inputs 7&amp;8 Day'!$V53))</f>
        <v>8.7701848092592112</v>
      </c>
      <c r="K40" s="1354">
        <f>IF('Mkt Pen Veh-Mi'!K40=0,1,1/((1-Fuel2ShrbyTech!K41)/'Inputs 7&amp;8 Day'!$Q53+Fuel2ShrbyTech!K41/'Inputs 7&amp;8 Day'!$W53))</f>
        <v>10.593615017242</v>
      </c>
      <c r="L40" s="1354">
        <f>IF('Mkt Pen Veh-Mi'!L40=0,1,1/((1-Fuel2ShrbyTech!L41)/'Inputs 7&amp;8 Day'!$R53+Fuel2ShrbyTech!L41/'Inputs 7&amp;8 Day'!$X53))</f>
        <v>1</v>
      </c>
      <c r="M40" s="1355">
        <f>IF('Mkt Pen Veh-Mi'!M40=0,1,1/((1-Fuel2ShrbyTech!M41)/'Inputs 7&amp;8 Day'!$S53+Fuel2ShrbyTech!M41/'Inputs 7&amp;8 Day'!$Y53))</f>
        <v>10.276067658653917</v>
      </c>
      <c r="N40" s="1353">
        <f>IF('Mkt Pen Veh-Mi'!N40=0,1,1/((1-Fuel2ShrbyTech!N41)/'Inputs 7&amp;8 SU'!$N53+Fuel2ShrbyTech!N41/'Inputs 7&amp;8 SU'!$T53))</f>
        <v>8.2229642734760873</v>
      </c>
      <c r="O40" s="1354">
        <f>IF('Mkt Pen Veh-Mi'!O40=0,1,1/((1-Fuel2ShrbyTech!O41)/'Inputs 7&amp;8 SU'!$O53+Fuel2ShrbyTech!O41/'Inputs 7&amp;8 SU'!$U53))</f>
        <v>9.7351750732685431</v>
      </c>
      <c r="P40" s="1354">
        <f>IF('Mkt Pen Veh-Mi'!P40=0,1,1/((1-Fuel2ShrbyTech!P41)/'Inputs 7&amp;8 SU'!$P53+Fuel2ShrbyTech!P41/'Inputs 7&amp;8 SU'!$V53))</f>
        <v>10.318319339815629</v>
      </c>
      <c r="Q40" s="1354">
        <f>IF('Mkt Pen Veh-Mi'!Q40=0,1,1/((1-Fuel2ShrbyTech!Q41)/'Inputs 7&amp;8 SU'!$Q53+Fuel2ShrbyTech!Q41/'Inputs 7&amp;8 SU'!$W53))</f>
        <v>11.617882015838985</v>
      </c>
      <c r="R40" s="1354">
        <f>IF('Mkt Pen Veh-Mi'!R40=0,1,1/((1-Fuel2ShrbyTech!R41)/'Inputs 7&amp;8 SU'!$R53+Fuel2ShrbyTech!R41/'Inputs 7&amp;8 SU'!$X53))</f>
        <v>15.634273169631467</v>
      </c>
      <c r="S40" s="1355">
        <f>IF('Mkt Pen Veh-Mi'!S40=0,1,1/((1-Fuel2ShrbyTech!S41)/'Inputs 7&amp;8 SU'!$S53+Fuel2ShrbyTech!S41/'Inputs 7&amp;8 SU'!$Y53))</f>
        <v>27.08704289081329</v>
      </c>
      <c r="U40" s="1299">
        <f t="shared" si="13"/>
        <v>2038</v>
      </c>
      <c r="V40" s="1353">
        <f t="shared" si="14"/>
        <v>8.3622323180818086</v>
      </c>
      <c r="W40" s="1354">
        <f t="shared" si="15"/>
        <v>9.696982519608973</v>
      </c>
      <c r="X40" s="1354">
        <f t="shared" si="16"/>
        <v>9.7540908900656405</v>
      </c>
      <c r="Y40" s="1354">
        <f t="shared" si="17"/>
        <v>10.814892619877449</v>
      </c>
      <c r="Z40" s="1354">
        <f t="shared" si="18"/>
        <v>11.722360060727741</v>
      </c>
      <c r="AA40" s="1355">
        <f t="shared" si="19"/>
        <v>10.95075216566288</v>
      </c>
      <c r="AB40" s="1353">
        <f t="shared" si="20"/>
        <v>7.4246922941697271</v>
      </c>
      <c r="AC40" s="1354">
        <f t="shared" si="21"/>
        <v>8.7216859065084495</v>
      </c>
      <c r="AD40" s="1354">
        <f t="shared" si="22"/>
        <v>8.7701848092592112</v>
      </c>
      <c r="AE40" s="1354">
        <f t="shared" si="23"/>
        <v>10.593615017242</v>
      </c>
      <c r="AF40" s="1354">
        <f t="shared" si="24"/>
        <v>0</v>
      </c>
      <c r="AG40" s="1355">
        <f t="shared" si="25"/>
        <v>10.276067658653917</v>
      </c>
      <c r="AH40" s="1353">
        <f t="shared" si="26"/>
        <v>8.2229642734760873</v>
      </c>
      <c r="AI40" s="1354">
        <f t="shared" si="27"/>
        <v>9.7351750732685431</v>
      </c>
      <c r="AJ40" s="1354">
        <f t="shared" si="28"/>
        <v>10.318319339815629</v>
      </c>
      <c r="AK40" s="1354">
        <f t="shared" si="29"/>
        <v>11.617882015838985</v>
      </c>
      <c r="AL40" s="1354">
        <f t="shared" si="30"/>
        <v>15.634273169631467</v>
      </c>
      <c r="AM40" s="1355">
        <f t="shared" si="31"/>
        <v>27.08704289081329</v>
      </c>
      <c r="AN40" s="1284">
        <v>2038</v>
      </c>
      <c r="AO40" s="1435">
        <f t="array" ref="AO40">1/SUMPRODUCT(IFERROR(1/V40:AA40,0),'Mkt Pen Veh-Mi'!B40:G40)</f>
        <v>9.9663048128955314</v>
      </c>
      <c r="AP40" s="1436">
        <f t="array" ref="AP40">1/SUMPRODUCT(IFERROR(1/AB40:AG40,0),'Mkt Pen Veh-Mi'!H40:M40)</f>
        <v>8.6786381784185505</v>
      </c>
      <c r="AQ40" s="1440">
        <f t="array" ref="AQ40">1/SUMPRODUCT(IFERROR(1/AH40:AM40,0),'Mkt Pen Veh-Mi'!N40:S40)</f>
        <v>9.4483104356737719</v>
      </c>
      <c r="AR40" s="1433">
        <v>2038</v>
      </c>
      <c r="AS40" s="1435">
        <f t="shared" si="32"/>
        <v>1.1918234789226325</v>
      </c>
      <c r="AT40" s="1436">
        <f t="shared" si="33"/>
        <v>1.1688885996303833</v>
      </c>
      <c r="AU40" s="1436">
        <f t="shared" si="34"/>
        <v>1.1490151387560017</v>
      </c>
      <c r="AV40" s="1440">
        <v>2.0837866625663999</v>
      </c>
    </row>
    <row r="41" spans="1:48" s="1284" customFormat="1" ht="15" x14ac:dyDescent="0.25">
      <c r="A41" s="1299">
        <v>2039</v>
      </c>
      <c r="B41" s="1353">
        <f>IF('Mkt Pen Veh-Mi'!B41=0,1,1/((1-Fuel2ShrbyTech!B42)/'Inputs 7&amp;8 Sleep'!$N54+Fuel2ShrbyTech!B42/'Inputs 7&amp;8 Sleep'!$T54))</f>
        <v>8.3622771800009073</v>
      </c>
      <c r="C41" s="1354">
        <f>IF('Mkt Pen Veh-Mi'!C41=0,1,1/((1-Fuel2ShrbyTech!C42)/'Inputs 7&amp;8 Sleep'!$O54+Fuel2ShrbyTech!C42/'Inputs 7&amp;8 Sleep'!$U54))</f>
        <v>9.6970345422302948</v>
      </c>
      <c r="D41" s="1354">
        <f>IF('Mkt Pen Veh-Mi'!D41=0,1,1/((1-Fuel2ShrbyTech!D42)/'Inputs 7&amp;8 Sleep'!$P54+Fuel2ShrbyTech!D42/'Inputs 7&amp;8 Sleep'!$V54))</f>
        <v>9.754143219063419</v>
      </c>
      <c r="E41" s="1354">
        <f>IF('Mkt Pen Veh-Mi'!E41=0,1,1/((1-Fuel2ShrbyTech!E42)/'Inputs 7&amp;8 Sleep'!$Q54+Fuel2ShrbyTech!E42/'Inputs 7&amp;8 Sleep'!$W54))</f>
        <v>10.875457804570722</v>
      </c>
      <c r="F41" s="1354">
        <f>IF('Mkt Pen Veh-Mi'!F41=0,1,1/((1-Fuel2ShrbyTech!F42)/'Inputs 7&amp;8 Sleep'!$R54+Fuel2ShrbyTech!F42/'Inputs 7&amp;8 Sleep'!$X54))</f>
        <v>11.823142485171479</v>
      </c>
      <c r="G41" s="1355">
        <f>IF('Mkt Pen Veh-Mi'!G41=0,1,1/((1-Fuel2ShrbyTech!G42)/'Inputs 7&amp;8 Sleep'!$S54+Fuel2ShrbyTech!G42/'Inputs 7&amp;8 Sleep'!$Y54))</f>
        <v>11.050210946354298</v>
      </c>
      <c r="H41" s="1353">
        <f>IF('Mkt Pen Veh-Mi'!H41=0,1,1/((1-Fuel2ShrbyTech!H42)/'Inputs 7&amp;8 Day'!$N54+Fuel2ShrbyTech!H42/'Inputs 7&amp;8 Day'!$T54))</f>
        <v>7.4248289409401158</v>
      </c>
      <c r="I41" s="1354">
        <f>IF('Mkt Pen Veh-Mi'!I41=0,1,1/((1-Fuel2ShrbyTech!I42)/'Inputs 7&amp;8 Day'!$O54+Fuel2ShrbyTech!I42/'Inputs 7&amp;8 Day'!$U54))</f>
        <v>8.7218464236267685</v>
      </c>
      <c r="J41" s="1354">
        <f>IF('Mkt Pen Veh-Mi'!J41=0,1,1/((1-Fuel2ShrbyTech!J42)/'Inputs 7&amp;8 Day'!$P54+Fuel2ShrbyTech!J42/'Inputs 7&amp;8 Day'!$V54))</f>
        <v>8.7703462189691912</v>
      </c>
      <c r="K41" s="1354">
        <f>IF('Mkt Pen Veh-Mi'!K41=0,1,1/((1-Fuel2ShrbyTech!K42)/'Inputs 7&amp;8 Day'!$Q54+Fuel2ShrbyTech!K42/'Inputs 7&amp;8 Day'!$W54))</f>
        <v>10.742638265529498</v>
      </c>
      <c r="L41" s="1354">
        <f>IF('Mkt Pen Veh-Mi'!L41=0,1,1/((1-Fuel2ShrbyTech!L42)/'Inputs 7&amp;8 Day'!$R54+Fuel2ShrbyTech!L42/'Inputs 7&amp;8 Day'!$X54))</f>
        <v>1</v>
      </c>
      <c r="M41" s="1355">
        <f>IF('Mkt Pen Veh-Mi'!M41=0,1,1/((1-Fuel2ShrbyTech!M42)/'Inputs 7&amp;8 Day'!$S54+Fuel2ShrbyTech!M42/'Inputs 7&amp;8 Day'!$Y54))</f>
        <v>10.379100225700572</v>
      </c>
      <c r="N41" s="1353">
        <f>IF('Mkt Pen Veh-Mi'!N41=0,1,1/((1-Fuel2ShrbyTech!N42)/'Inputs 7&amp;8 SU'!$N54+Fuel2ShrbyTech!N42/'Inputs 7&amp;8 SU'!$T54))</f>
        <v>8.2229642734760873</v>
      </c>
      <c r="O41" s="1354">
        <f>IF('Mkt Pen Veh-Mi'!O41=0,1,1/((1-Fuel2ShrbyTech!O42)/'Inputs 7&amp;8 SU'!$O54+Fuel2ShrbyTech!O42/'Inputs 7&amp;8 SU'!$U54))</f>
        <v>9.7351750732685431</v>
      </c>
      <c r="P41" s="1354">
        <f>IF('Mkt Pen Veh-Mi'!P41=0,1,1/((1-Fuel2ShrbyTech!P42)/'Inputs 7&amp;8 SU'!$P54+Fuel2ShrbyTech!P42/'Inputs 7&amp;8 SU'!$V54))</f>
        <v>10.318319339815629</v>
      </c>
      <c r="Q41" s="1354">
        <f>IF('Mkt Pen Veh-Mi'!Q41=0,1,1/((1-Fuel2ShrbyTech!Q42)/'Inputs 7&amp;8 SU'!$Q54+Fuel2ShrbyTech!Q42/'Inputs 7&amp;8 SU'!$W54))</f>
        <v>11.617882015838985</v>
      </c>
      <c r="R41" s="1354">
        <f>IF('Mkt Pen Veh-Mi'!R41=0,1,1/((1-Fuel2ShrbyTech!R42)/'Inputs 7&amp;8 SU'!$R54+Fuel2ShrbyTech!R42/'Inputs 7&amp;8 SU'!$X54))</f>
        <v>15.898490275452771</v>
      </c>
      <c r="S41" s="1355">
        <f>IF('Mkt Pen Veh-Mi'!S41=0,1,1/((1-Fuel2ShrbyTech!S42)/'Inputs 7&amp;8 SU'!$S54+Fuel2ShrbyTech!S42/'Inputs 7&amp;8 SU'!$Y54))</f>
        <v>27.180151085107521</v>
      </c>
      <c r="U41" s="1299">
        <f t="shared" si="13"/>
        <v>2039</v>
      </c>
      <c r="V41" s="1353">
        <f t="shared" si="14"/>
        <v>8.3622771800009073</v>
      </c>
      <c r="W41" s="1354">
        <f t="shared" si="15"/>
        <v>9.6970345422302948</v>
      </c>
      <c r="X41" s="1354">
        <f t="shared" si="16"/>
        <v>9.754143219063419</v>
      </c>
      <c r="Y41" s="1354">
        <f t="shared" si="17"/>
        <v>10.875457804570722</v>
      </c>
      <c r="Z41" s="1354">
        <f t="shared" si="18"/>
        <v>11.823142485171479</v>
      </c>
      <c r="AA41" s="1355">
        <f t="shared" si="19"/>
        <v>11.050210946354298</v>
      </c>
      <c r="AB41" s="1353">
        <f t="shared" si="20"/>
        <v>7.4248289409401158</v>
      </c>
      <c r="AC41" s="1354">
        <f t="shared" si="21"/>
        <v>8.7218464236267685</v>
      </c>
      <c r="AD41" s="1354">
        <f t="shared" si="22"/>
        <v>8.7703462189691912</v>
      </c>
      <c r="AE41" s="1354">
        <f t="shared" si="23"/>
        <v>10.742638265529498</v>
      </c>
      <c r="AF41" s="1354">
        <f t="shared" si="24"/>
        <v>0</v>
      </c>
      <c r="AG41" s="1355">
        <f t="shared" si="25"/>
        <v>10.379100225700572</v>
      </c>
      <c r="AH41" s="1353">
        <f t="shared" si="26"/>
        <v>8.2229642734760873</v>
      </c>
      <c r="AI41" s="1354">
        <f t="shared" si="27"/>
        <v>9.7351750732685431</v>
      </c>
      <c r="AJ41" s="1354">
        <f t="shared" si="28"/>
        <v>10.318319339815629</v>
      </c>
      <c r="AK41" s="1354">
        <f t="shared" si="29"/>
        <v>11.617882015838985</v>
      </c>
      <c r="AL41" s="1354">
        <f t="shared" si="30"/>
        <v>15.898490275452771</v>
      </c>
      <c r="AM41" s="1355">
        <f t="shared" si="31"/>
        <v>27.180151085107521</v>
      </c>
      <c r="AN41" s="1284">
        <v>2039</v>
      </c>
      <c r="AO41" s="1435">
        <f t="array" ref="AO41">1/SUMPRODUCT(IFERROR(1/V41:AA41,0),'Mkt Pen Veh-Mi'!B41:G41)</f>
        <v>9.9878950554266037</v>
      </c>
      <c r="AP41" s="1436">
        <f t="array" ref="AP41">1/SUMPRODUCT(IFERROR(1/AB41:AG41,0),'Mkt Pen Veh-Mi'!H41:M41)</f>
        <v>8.7800068575324381</v>
      </c>
      <c r="AQ41" s="1440">
        <f t="array" ref="AQ41">1/SUMPRODUCT(IFERROR(1/AH41:AM41,0),'Mkt Pen Veh-Mi'!N41:S41)</f>
        <v>9.4741030275114859</v>
      </c>
      <c r="AR41" s="1433">
        <v>2039</v>
      </c>
      <c r="AS41" s="1435">
        <f t="shared" si="32"/>
        <v>1.1943989466545666</v>
      </c>
      <c r="AT41" s="1436">
        <f t="shared" si="33"/>
        <v>1.1825197492591302</v>
      </c>
      <c r="AU41" s="1436">
        <f t="shared" si="34"/>
        <v>1.152151792519768</v>
      </c>
      <c r="AV41" s="1440">
        <v>2.111395266587011</v>
      </c>
    </row>
    <row r="42" spans="1:48" s="1284" customFormat="1" ht="15" x14ac:dyDescent="0.25">
      <c r="A42" s="1305">
        <v>2040</v>
      </c>
      <c r="B42" s="1356">
        <f>IF('Mkt Pen Veh-Mi'!B42=0,1,1/((1-Fuel2ShrbyTech!B43)/'Inputs 7&amp;8 Sleep'!$N55+Fuel2ShrbyTech!B43/'Inputs 7&amp;8 Sleep'!$T55))</f>
        <v>8.3623220419200059</v>
      </c>
      <c r="C42" s="1357">
        <f>IF('Mkt Pen Veh-Mi'!C42=0,1,1/((1-Fuel2ShrbyTech!C43)/'Inputs 7&amp;8 Sleep'!$O55+Fuel2ShrbyTech!C43/'Inputs 7&amp;8 Sleep'!$U55))</f>
        <v>9.6970865648516185</v>
      </c>
      <c r="D42" s="1357">
        <f>IF('Mkt Pen Veh-Mi'!D42=0,1,1/((1-Fuel2ShrbyTech!D43)/'Inputs 7&amp;8 Sleep'!$P55+Fuel2ShrbyTech!D43/'Inputs 7&amp;8 Sleep'!$V55))</f>
        <v>9.7541955480611975</v>
      </c>
      <c r="E42" s="1357">
        <f>IF('Mkt Pen Veh-Mi'!E42=0,1,1/((1-Fuel2ShrbyTech!E43)/'Inputs 7&amp;8 Sleep'!$Q55+Fuel2ShrbyTech!E43/'Inputs 7&amp;8 Sleep'!$W55))</f>
        <v>10.936023638481299</v>
      </c>
      <c r="F42" s="1357">
        <f>IF('Mkt Pen Veh-Mi'!F42=0,1,1/((1-Fuel2ShrbyTech!F43)/'Inputs 7&amp;8 Sleep'!$R55+Fuel2ShrbyTech!F43/'Inputs 7&amp;8 Sleep'!$X55))</f>
        <v>11.969853157053821</v>
      </c>
      <c r="G42" s="1358">
        <f>IF('Mkt Pen Veh-Mi'!G42=0,1,1/((1-Fuel2ShrbyTech!G43)/'Inputs 7&amp;8 Sleep'!$S55+Fuel2ShrbyTech!G43/'Inputs 7&amp;8 Sleep'!$Y55))</f>
        <v>11.149670793567688</v>
      </c>
      <c r="H42" s="1362">
        <f>IF('Mkt Pen Veh-Mi'!H42=0,1,1/((1-Fuel2ShrbyTech!H43)/'Inputs 7&amp;8 Day'!$N55+Fuel2ShrbyTech!H43/'Inputs 7&amp;8 Day'!$T55))</f>
        <v>7.4249655877105027</v>
      </c>
      <c r="I42" s="1363">
        <f>IF('Mkt Pen Veh-Mi'!I42=0,1,1/((1-Fuel2ShrbyTech!I43)/'Inputs 7&amp;8 Day'!$O55+Fuel2ShrbyTech!I43/'Inputs 7&amp;8 Day'!$U55))</f>
        <v>8.7220069407450875</v>
      </c>
      <c r="J42" s="1363">
        <f>IF('Mkt Pen Veh-Mi'!J42=0,1,1/((1-Fuel2ShrbyTech!J43)/'Inputs 7&amp;8 Day'!$P55+Fuel2ShrbyTech!J43/'Inputs 7&amp;8 Day'!$V55))</f>
        <v>8.7705076286791712</v>
      </c>
      <c r="K42" s="1363">
        <f>IF('Mkt Pen Veh-Mi'!K42=0,1,1/((1-Fuel2ShrbyTech!K43)/'Inputs 7&amp;8 Day'!$Q55+Fuel2ShrbyTech!K43/'Inputs 7&amp;8 Day'!$W55))</f>
        <v>10.917438137333518</v>
      </c>
      <c r="L42" s="1363">
        <f>IF('Mkt Pen Veh-Mi'!L42=0,1,1/((1-Fuel2ShrbyTech!L43)/'Inputs 7&amp;8 Day'!$R55+Fuel2ShrbyTech!L43/'Inputs 7&amp;8 Day'!$X55))</f>
        <v>1</v>
      </c>
      <c r="M42" s="1364">
        <f>IF('Mkt Pen Veh-Mi'!M42=0,1,1/((1-Fuel2ShrbyTech!M43)/'Inputs 7&amp;8 Day'!$S55+Fuel2ShrbyTech!M43/'Inputs 7&amp;8 Day'!$Y55))</f>
        <v>10.482136578214712</v>
      </c>
      <c r="N42" s="1353">
        <f>IF('Mkt Pen Veh-Mi'!N42=0,1,1/((1-Fuel2ShrbyTech!N43)/'Inputs 7&amp;8 SU'!$N55+Fuel2ShrbyTech!N43/'Inputs 7&amp;8 SU'!$T55))</f>
        <v>8.2229642734760873</v>
      </c>
      <c r="O42" s="1363">
        <f>IF('Mkt Pen Veh-Mi'!O42=0,1,1/((1-Fuel2ShrbyTech!O43)/'Inputs 7&amp;8 SU'!$O55+Fuel2ShrbyTech!O43/'Inputs 7&amp;8 SU'!$U55))</f>
        <v>9.7351750732685431</v>
      </c>
      <c r="P42" s="1363">
        <f>IF('Mkt Pen Veh-Mi'!P42=0,1,1/((1-Fuel2ShrbyTech!P43)/'Inputs 7&amp;8 SU'!$P55+Fuel2ShrbyTech!P43/'Inputs 7&amp;8 SU'!$V55))</f>
        <v>10.318319339815629</v>
      </c>
      <c r="Q42" s="1363">
        <f>IF('Mkt Pen Veh-Mi'!Q42=0,1,1/((1-Fuel2ShrbyTech!Q43)/'Inputs 7&amp;8 SU'!$Q55+Fuel2ShrbyTech!Q43/'Inputs 7&amp;8 SU'!$W55))</f>
        <v>11.617882015838985</v>
      </c>
      <c r="R42" s="1363">
        <f>IF('Mkt Pen Veh-Mi'!R42=0,1,1/((1-Fuel2ShrbyTech!R43)/'Inputs 7&amp;8 SU'!$R55+Fuel2ShrbyTech!R43/'Inputs 7&amp;8 SU'!$X55))</f>
        <v>16.271199927400385</v>
      </c>
      <c r="S42" s="1364">
        <f>IF('Mkt Pen Veh-Mi'!S42=0,1,1/((1-Fuel2ShrbyTech!S43)/'Inputs 7&amp;8 SU'!$S55+Fuel2ShrbyTech!S43/'Inputs 7&amp;8 SU'!$Y55))</f>
        <v>27.273259279401749</v>
      </c>
      <c r="U42" s="1305">
        <f t="shared" si="13"/>
        <v>2040</v>
      </c>
      <c r="V42" s="1356">
        <f t="shared" si="14"/>
        <v>8.3623220419200059</v>
      </c>
      <c r="W42" s="1357">
        <f t="shared" si="15"/>
        <v>9.6970865648516185</v>
      </c>
      <c r="X42" s="1357">
        <f t="shared" si="16"/>
        <v>9.7541955480611975</v>
      </c>
      <c r="Y42" s="1357">
        <f t="shared" si="17"/>
        <v>10.936023638481299</v>
      </c>
      <c r="Z42" s="1357">
        <f t="shared" si="18"/>
        <v>11.969853157053821</v>
      </c>
      <c r="AA42" s="1358">
        <f t="shared" si="19"/>
        <v>11.149670793567688</v>
      </c>
      <c r="AB42" s="1362">
        <f t="shared" si="20"/>
        <v>7.4249655877105027</v>
      </c>
      <c r="AC42" s="1363">
        <f t="shared" si="21"/>
        <v>8.7220069407450875</v>
      </c>
      <c r="AD42" s="1363">
        <f t="shared" si="22"/>
        <v>8.7705076286791712</v>
      </c>
      <c r="AE42" s="1363">
        <f t="shared" si="23"/>
        <v>10.917438137333518</v>
      </c>
      <c r="AF42" s="1363">
        <f t="shared" si="24"/>
        <v>0</v>
      </c>
      <c r="AG42" s="1364">
        <f t="shared" si="25"/>
        <v>10.482136578214712</v>
      </c>
      <c r="AH42" s="1353">
        <f t="shared" si="26"/>
        <v>8.2229642734760873</v>
      </c>
      <c r="AI42" s="1363">
        <f t="shared" si="27"/>
        <v>9.7351750732685431</v>
      </c>
      <c r="AJ42" s="1363">
        <f t="shared" si="28"/>
        <v>10.318319339815629</v>
      </c>
      <c r="AK42" s="1363">
        <f t="shared" si="29"/>
        <v>11.617882015838985</v>
      </c>
      <c r="AL42" s="1363">
        <f t="shared" si="30"/>
        <v>16.271199927400385</v>
      </c>
      <c r="AM42" s="1364">
        <f t="shared" si="31"/>
        <v>27.273259279401749</v>
      </c>
      <c r="AN42" s="1284">
        <v>2040</v>
      </c>
      <c r="AO42" s="1435">
        <f t="array" ref="AO42">1/SUMPRODUCT(IFERROR(1/V42:AA42,0),'Mkt Pen Veh-Mi'!B42:G42)</f>
        <v>10.023781689768288</v>
      </c>
      <c r="AP42" s="1436">
        <f t="array" ref="AP42">1/SUMPRODUCT(IFERROR(1/AB42:AG42,0),'Mkt Pen Veh-Mi'!H42:M42)</f>
        <v>8.8641741425800404</v>
      </c>
      <c r="AQ42" s="1440">
        <f t="array" ref="AQ42">1/SUMPRODUCT(IFERROR(1/AH42:AM42,0),'Mkt Pen Veh-Mi'!N42:S42)</f>
        <v>9.517615410341536</v>
      </c>
      <c r="AR42" s="1433">
        <v>2040</v>
      </c>
      <c r="AS42" s="1435">
        <f t="shared" si="32"/>
        <v>1.1986840066095814</v>
      </c>
      <c r="AT42" s="1436">
        <f t="shared" si="33"/>
        <v>1.1938337003543364</v>
      </c>
      <c r="AU42" s="1436">
        <f t="shared" si="34"/>
        <v>1.1574433615188457</v>
      </c>
      <c r="AV42" s="1440">
        <v>2.1489389429026087</v>
      </c>
    </row>
    <row r="43" spans="1:48" s="1284" customFormat="1" ht="15" x14ac:dyDescent="0.25">
      <c r="A43" s="1299">
        <v>2041</v>
      </c>
      <c r="B43" s="1359">
        <f>IF('Mkt Pen Veh-Mi'!B43=0,1,1/((1-Fuel2ShrbyTech!B44)/'Inputs 7&amp;8 Sleep'!$N56+Fuel2ShrbyTech!B44/'Inputs 7&amp;8 Sleep'!$T56))</f>
        <v>8.3623669038391046</v>
      </c>
      <c r="C43" s="1360">
        <f>IF('Mkt Pen Veh-Mi'!C43=0,1,1/((1-Fuel2ShrbyTech!C44)/'Inputs 7&amp;8 Sleep'!$O56+Fuel2ShrbyTech!C44/'Inputs 7&amp;8 Sleep'!$U56))</f>
        <v>9.6971385874729421</v>
      </c>
      <c r="D43" s="1360">
        <f>IF('Mkt Pen Veh-Mi'!D43=0,1,1/((1-Fuel2ShrbyTech!D44)/'Inputs 7&amp;8 Sleep'!$P56+Fuel2ShrbyTech!D44/'Inputs 7&amp;8 Sleep'!$V56))</f>
        <v>9.754247877058976</v>
      </c>
      <c r="E43" s="1360">
        <f>IF('Mkt Pen Veh-Mi'!E43=0,1,1/((1-Fuel2ShrbyTech!E44)/'Inputs 7&amp;8 Sleep'!$Q56+Fuel2ShrbyTech!E44/'Inputs 7&amp;8 Sleep'!$W56))</f>
        <v>10.996590121609181</v>
      </c>
      <c r="F43" s="1360">
        <f>IF('Mkt Pen Veh-Mi'!F43=0,1,1/((1-Fuel2ShrbyTech!F44)/'Inputs 7&amp;8 Sleep'!$R56+Fuel2ShrbyTech!F44/'Inputs 7&amp;8 Sleep'!$X56))</f>
        <v>12.273560164574844</v>
      </c>
      <c r="G43" s="1361">
        <f>IF('Mkt Pen Veh-Mi'!G43=0,1,1/((1-Fuel2ShrbyTech!G44)/'Inputs 7&amp;8 Sleep'!$S56+Fuel2ShrbyTech!G44/'Inputs 7&amp;8 Sleep'!$Y56))</f>
        <v>11.249131707303057</v>
      </c>
      <c r="H43" s="1359">
        <f>IF('Mkt Pen Veh-Mi'!H43=0,1,1/((1-Fuel2ShrbyTech!H44)/'Inputs 7&amp;8 Day'!$N56+Fuel2ShrbyTech!H44/'Inputs 7&amp;8 Day'!$T56))</f>
        <v>7.4251022344808897</v>
      </c>
      <c r="I43" s="1360">
        <f>IF('Mkt Pen Veh-Mi'!I43=0,1,1/((1-Fuel2ShrbyTech!I44)/'Inputs 7&amp;8 Day'!$O56+Fuel2ShrbyTech!I44/'Inputs 7&amp;8 Day'!$U56))</f>
        <v>8.7221674578634065</v>
      </c>
      <c r="J43" s="1360">
        <f>IF('Mkt Pen Veh-Mi'!J43=0,1,1/((1-Fuel2ShrbyTech!J44)/'Inputs 7&amp;8 Day'!$P56+Fuel2ShrbyTech!J44/'Inputs 7&amp;8 Day'!$V56))</f>
        <v>8.7706690383891512</v>
      </c>
      <c r="K43" s="1360">
        <f>IF('Mkt Pen Veh-Mi'!K43=0,1,1/((1-Fuel2ShrbyTech!K44)/'Inputs 7&amp;8 Day'!$Q56+Fuel2ShrbyTech!K44/'Inputs 7&amp;8 Day'!$W56))</f>
        <v>11.100343293889329</v>
      </c>
      <c r="L43" s="1360">
        <f>IF('Mkt Pen Veh-Mi'!L43=0,1,1/((1-Fuel2ShrbyTech!L44)/'Inputs 7&amp;8 Day'!$R56+Fuel2ShrbyTech!L44/'Inputs 7&amp;8 Day'!$X56))</f>
        <v>1</v>
      </c>
      <c r="M43" s="1361">
        <f>IF('Mkt Pen Veh-Mi'!M43=0,1,1/((1-Fuel2ShrbyTech!M44)/'Inputs 7&amp;8 Day'!$S56+Fuel2ShrbyTech!M44/'Inputs 7&amp;8 Day'!$Y56))</f>
        <v>10.585176716196342</v>
      </c>
      <c r="N43" s="1359">
        <f>IF('Mkt Pen Veh-Mi'!N43=0,1,1/((1-Fuel2ShrbyTech!N44)/'Inputs 7&amp;8 SU'!$N56+Fuel2ShrbyTech!N44/'Inputs 7&amp;8 SU'!$T56))</f>
        <v>8.2229642734760873</v>
      </c>
      <c r="O43" s="1360">
        <f>IF('Mkt Pen Veh-Mi'!O43=0,1,1/((1-Fuel2ShrbyTech!O44)/'Inputs 7&amp;8 SU'!$O56+Fuel2ShrbyTech!O44/'Inputs 7&amp;8 SU'!$U56))</f>
        <v>9.7351750732685431</v>
      </c>
      <c r="P43" s="1360">
        <f>IF('Mkt Pen Veh-Mi'!P43=0,1,1/((1-Fuel2ShrbyTech!P44)/'Inputs 7&amp;8 SU'!$P56+Fuel2ShrbyTech!P44/'Inputs 7&amp;8 SU'!$V56))</f>
        <v>10.318319339815629</v>
      </c>
      <c r="Q43" s="1360">
        <f>IF('Mkt Pen Veh-Mi'!Q43=0,1,1/((1-Fuel2ShrbyTech!Q44)/'Inputs 7&amp;8 SU'!$Q56+Fuel2ShrbyTech!Q44/'Inputs 7&amp;8 SU'!$W56))</f>
        <v>11.617882015838985</v>
      </c>
      <c r="R43" s="1360">
        <f>IF('Mkt Pen Veh-Mi'!R43=0,1,1/((1-Fuel2ShrbyTech!R44)/'Inputs 7&amp;8 SU'!$R56+Fuel2ShrbyTech!R44/'Inputs 7&amp;8 SU'!$X56))</f>
        <v>16.816530968520038</v>
      </c>
      <c r="S43" s="1361">
        <f>IF('Mkt Pen Veh-Mi'!S43=0,1,1/((1-Fuel2ShrbyTech!S44)/'Inputs 7&amp;8 SU'!$S56+Fuel2ShrbyTech!S44/'Inputs 7&amp;8 SU'!$Y56))</f>
        <v>27.366367473695977</v>
      </c>
      <c r="U43" s="1299">
        <f t="shared" si="13"/>
        <v>2041</v>
      </c>
      <c r="V43" s="1359">
        <f t="shared" si="14"/>
        <v>8.3623669038391046</v>
      </c>
      <c r="W43" s="1360">
        <f t="shared" si="15"/>
        <v>9.6971385874729421</v>
      </c>
      <c r="X43" s="1360">
        <f t="shared" si="16"/>
        <v>9.754247877058976</v>
      </c>
      <c r="Y43" s="1360">
        <f t="shared" si="17"/>
        <v>10.996590121609181</v>
      </c>
      <c r="Z43" s="1360">
        <f t="shared" si="18"/>
        <v>12.273560164574844</v>
      </c>
      <c r="AA43" s="1361">
        <f t="shared" si="19"/>
        <v>11.249131707303057</v>
      </c>
      <c r="AB43" s="1359">
        <f t="shared" si="20"/>
        <v>7.4251022344808897</v>
      </c>
      <c r="AC43" s="1360">
        <f t="shared" si="21"/>
        <v>8.7221674578634065</v>
      </c>
      <c r="AD43" s="1360">
        <f t="shared" si="22"/>
        <v>8.7706690383891512</v>
      </c>
      <c r="AE43" s="1360">
        <f t="shared" si="23"/>
        <v>11.100343293889329</v>
      </c>
      <c r="AF43" s="1360">
        <f t="shared" si="24"/>
        <v>0</v>
      </c>
      <c r="AG43" s="1361">
        <f t="shared" si="25"/>
        <v>10.585176716196342</v>
      </c>
      <c r="AH43" s="1359">
        <f t="shared" si="26"/>
        <v>8.2229642734760873</v>
      </c>
      <c r="AI43" s="1360">
        <f t="shared" si="27"/>
        <v>9.7351750732685431</v>
      </c>
      <c r="AJ43" s="1360">
        <f t="shared" si="28"/>
        <v>10.318319339815629</v>
      </c>
      <c r="AK43" s="1360">
        <f t="shared" si="29"/>
        <v>11.617882015838985</v>
      </c>
      <c r="AL43" s="1360">
        <f t="shared" si="30"/>
        <v>16.816530968520038</v>
      </c>
      <c r="AM43" s="1361">
        <f t="shared" si="31"/>
        <v>27.366367473695977</v>
      </c>
      <c r="AN43" s="1284">
        <v>2041</v>
      </c>
      <c r="AO43" s="1435">
        <f t="array" ref="AO43">1/SUMPRODUCT(IFERROR(1/V43:AA43,0),'Mkt Pen Veh-Mi'!B43:G43)</f>
        <v>10.061247830520099</v>
      </c>
      <c r="AP43" s="1436">
        <f t="array" ref="AP43">1/SUMPRODUCT(IFERROR(1/AB43:AG43,0),'Mkt Pen Veh-Mi'!H43:M43)</f>
        <v>8.9422963958357631</v>
      </c>
      <c r="AQ43" s="1440">
        <f t="array" ref="AQ43">1/SUMPRODUCT(IFERROR(1/AH43:AM43,0),'Mkt Pen Veh-Mi'!N43:S43)</f>
        <v>9.5679710754789955</v>
      </c>
      <c r="AR43" s="1433">
        <v>2041</v>
      </c>
      <c r="AS43" s="1435">
        <f t="shared" si="32"/>
        <v>1.2031579032846609</v>
      </c>
      <c r="AT43" s="1436">
        <f t="shared" si="33"/>
        <v>1.2043331005341968</v>
      </c>
      <c r="AU43" s="1436">
        <f t="shared" si="34"/>
        <v>1.1635671465023081</v>
      </c>
      <c r="AV43" s="1440">
        <v>2.1717496436120078</v>
      </c>
    </row>
    <row r="44" spans="1:48" s="1284" customFormat="1" ht="15" x14ac:dyDescent="0.25">
      <c r="A44" s="1299">
        <v>2042</v>
      </c>
      <c r="B44" s="1353">
        <f>IF('Mkt Pen Veh-Mi'!B44=0,1,1/((1-Fuel2ShrbyTech!B45)/'Inputs 7&amp;8 Sleep'!$N57+Fuel2ShrbyTech!B45/'Inputs 7&amp;8 Sleep'!$T57))</f>
        <v>8.3624117657582033</v>
      </c>
      <c r="C44" s="1354">
        <f>IF('Mkt Pen Veh-Mi'!C44=0,1,1/((1-Fuel2ShrbyTech!C45)/'Inputs 7&amp;8 Sleep'!$O57+Fuel2ShrbyTech!C45/'Inputs 7&amp;8 Sleep'!$U57))</f>
        <v>9.697190610094264</v>
      </c>
      <c r="D44" s="1354">
        <f>IF('Mkt Pen Veh-Mi'!D44=0,1,1/((1-Fuel2ShrbyTech!D45)/'Inputs 7&amp;8 Sleep'!$P57+Fuel2ShrbyTech!D45/'Inputs 7&amp;8 Sleep'!$V57))</f>
        <v>9.7543002060567527</v>
      </c>
      <c r="E44" s="1354">
        <f>IF('Mkt Pen Veh-Mi'!E44=0,1,1/((1-Fuel2ShrbyTech!E45)/'Inputs 7&amp;8 Sleep'!$Q57+Fuel2ShrbyTech!E45/'Inputs 7&amp;8 Sleep'!$W57))</f>
        <v>11.057157253954367</v>
      </c>
      <c r="F44" s="1354">
        <f>IF('Mkt Pen Veh-Mi'!F44=0,1,1/((1-Fuel2ShrbyTech!F45)/'Inputs 7&amp;8 Sleep'!$R57+Fuel2ShrbyTech!F45/'Inputs 7&amp;8 Sleep'!$X57))</f>
        <v>12.956508083182333</v>
      </c>
      <c r="G44" s="1355">
        <f>IF('Mkt Pen Veh-Mi'!G44=0,1,1/((1-Fuel2ShrbyTech!G45)/'Inputs 7&amp;8 Sleep'!$S57+Fuel2ShrbyTech!G45/'Inputs 7&amp;8 Sleep'!$Y57))</f>
        <v>11.348593687560399</v>
      </c>
      <c r="H44" s="1353">
        <f>IF('Mkt Pen Veh-Mi'!H44=0,1,1/((1-Fuel2ShrbyTech!H45)/'Inputs 7&amp;8 Day'!$N57+Fuel2ShrbyTech!H45/'Inputs 7&amp;8 Day'!$T57))</f>
        <v>7.4252388812512784</v>
      </c>
      <c r="I44" s="1354">
        <f>IF('Mkt Pen Veh-Mi'!I44=0,1,1/((1-Fuel2ShrbyTech!I45)/'Inputs 7&amp;8 Day'!$O57+Fuel2ShrbyTech!I45/'Inputs 7&amp;8 Day'!$U57))</f>
        <v>8.7223279749817255</v>
      </c>
      <c r="J44" s="1354">
        <f>IF('Mkt Pen Veh-Mi'!J44=0,1,1/((1-Fuel2ShrbyTech!J45)/'Inputs 7&amp;8 Day'!$P57+Fuel2ShrbyTech!J45/'Inputs 7&amp;8 Day'!$V57))</f>
        <v>8.7708304480991313</v>
      </c>
      <c r="K44" s="1354">
        <f>IF('Mkt Pen Veh-Mi'!K44=0,1,1/((1-Fuel2ShrbyTech!K45)/'Inputs 7&amp;8 Day'!$Q57+Fuel2ShrbyTech!K45/'Inputs 7&amp;8 Day'!$W57))</f>
        <v>11.326715149764963</v>
      </c>
      <c r="L44" s="1354">
        <f>IF('Mkt Pen Veh-Mi'!L44=0,1,1/((1-Fuel2ShrbyTech!L45)/'Inputs 7&amp;8 Day'!$R57+Fuel2ShrbyTech!L45/'Inputs 7&amp;8 Day'!$X57))</f>
        <v>19.855356954537768</v>
      </c>
      <c r="M44" s="1355">
        <f>IF('Mkt Pen Veh-Mi'!M44=0,1,1/((1-Fuel2ShrbyTech!M45)/'Inputs 7&amp;8 Day'!$S57+Fuel2ShrbyTech!M45/'Inputs 7&amp;8 Day'!$Y57))</f>
        <v>10.688220639645456</v>
      </c>
      <c r="N44" s="1353">
        <f>IF('Mkt Pen Veh-Mi'!N44=0,1,1/((1-Fuel2ShrbyTech!N45)/'Inputs 7&amp;8 SU'!$N57+Fuel2ShrbyTech!N45/'Inputs 7&amp;8 SU'!$T57))</f>
        <v>8.2229642734760873</v>
      </c>
      <c r="O44" s="1354">
        <f>IF('Mkt Pen Veh-Mi'!O44=0,1,1/((1-Fuel2ShrbyTech!O45)/'Inputs 7&amp;8 SU'!$O57+Fuel2ShrbyTech!O45/'Inputs 7&amp;8 SU'!$U57))</f>
        <v>9.7351750732685431</v>
      </c>
      <c r="P44" s="1354">
        <f>IF('Mkt Pen Veh-Mi'!P44=0,1,1/((1-Fuel2ShrbyTech!P45)/'Inputs 7&amp;8 SU'!$P57+Fuel2ShrbyTech!P45/'Inputs 7&amp;8 SU'!$V57))</f>
        <v>10.318319339815629</v>
      </c>
      <c r="Q44" s="1354">
        <f>IF('Mkt Pen Veh-Mi'!Q44=0,1,1/((1-Fuel2ShrbyTech!Q45)/'Inputs 7&amp;8 SU'!$Q57+Fuel2ShrbyTech!Q45/'Inputs 7&amp;8 SU'!$W57))</f>
        <v>11.617882015838985</v>
      </c>
      <c r="R44" s="1354">
        <f>IF('Mkt Pen Veh-Mi'!R44=0,1,1/((1-Fuel2ShrbyTech!R45)/'Inputs 7&amp;8 SU'!$R57+Fuel2ShrbyTech!R45/'Inputs 7&amp;8 SU'!$X57))</f>
        <v>17.593418943779245</v>
      </c>
      <c r="S44" s="1355">
        <f>IF('Mkt Pen Veh-Mi'!S44=0,1,1/((1-Fuel2ShrbyTech!S45)/'Inputs 7&amp;8 SU'!$S57+Fuel2ShrbyTech!S45/'Inputs 7&amp;8 SU'!$Y57))</f>
        <v>27.459475667990205</v>
      </c>
      <c r="U44" s="1299">
        <f t="shared" si="13"/>
        <v>2042</v>
      </c>
      <c r="V44" s="1353">
        <f t="shared" si="14"/>
        <v>8.3624117657582033</v>
      </c>
      <c r="W44" s="1354">
        <f t="shared" si="15"/>
        <v>9.697190610094264</v>
      </c>
      <c r="X44" s="1354">
        <f t="shared" si="16"/>
        <v>9.7543002060567527</v>
      </c>
      <c r="Y44" s="1354">
        <f t="shared" si="17"/>
        <v>11.057157253954367</v>
      </c>
      <c r="Z44" s="1354">
        <f t="shared" si="18"/>
        <v>12.956508083182333</v>
      </c>
      <c r="AA44" s="1355">
        <f t="shared" si="19"/>
        <v>11.348593687560399</v>
      </c>
      <c r="AB44" s="1353">
        <f t="shared" si="20"/>
        <v>7.4252388812512784</v>
      </c>
      <c r="AC44" s="1354">
        <f t="shared" si="21"/>
        <v>8.7223279749817255</v>
      </c>
      <c r="AD44" s="1354">
        <f t="shared" si="22"/>
        <v>8.7708304480991313</v>
      </c>
      <c r="AE44" s="1354">
        <f t="shared" si="23"/>
        <v>11.326715149764963</v>
      </c>
      <c r="AF44" s="1354">
        <f t="shared" si="24"/>
        <v>19.855356954537768</v>
      </c>
      <c r="AG44" s="1355">
        <f t="shared" si="25"/>
        <v>10.688220639645456</v>
      </c>
      <c r="AH44" s="1353">
        <f t="shared" si="26"/>
        <v>8.2229642734760873</v>
      </c>
      <c r="AI44" s="1354">
        <f t="shared" si="27"/>
        <v>9.7351750732685431</v>
      </c>
      <c r="AJ44" s="1354">
        <f t="shared" si="28"/>
        <v>10.318319339815629</v>
      </c>
      <c r="AK44" s="1354">
        <f t="shared" si="29"/>
        <v>11.617882015838985</v>
      </c>
      <c r="AL44" s="1354">
        <f t="shared" si="30"/>
        <v>17.593418943779245</v>
      </c>
      <c r="AM44" s="1355">
        <f t="shared" si="31"/>
        <v>27.459475667990205</v>
      </c>
      <c r="AN44" s="1284">
        <v>2042</v>
      </c>
      <c r="AO44" s="1435">
        <f t="array" ref="AO44">1/SUMPRODUCT(IFERROR(1/V44:AA44,0),'Mkt Pen Veh-Mi'!B44:G44)</f>
        <v>10.120085513767595</v>
      </c>
      <c r="AP44" s="1436">
        <f t="array" ref="AP44">1/SUMPRODUCT(IFERROR(1/AB44:AG44,0),'Mkt Pen Veh-Mi'!H44:M44)</f>
        <v>9.0483308733300198</v>
      </c>
      <c r="AQ44" s="1440">
        <f t="array" ref="AQ44">1/SUMPRODUCT(IFERROR(1/AH44:AM44,0),'Mkt Pen Veh-Mi'!N44:S44)</f>
        <v>9.655964058920814</v>
      </c>
      <c r="AR44" s="1433">
        <v>2042</v>
      </c>
      <c r="AS44" s="1435">
        <f t="shared" si="32"/>
        <v>1.2101874192809527</v>
      </c>
      <c r="AT44" s="1436">
        <f t="shared" si="33"/>
        <v>1.2185912154526162</v>
      </c>
      <c r="AU44" s="1436">
        <f t="shared" si="34"/>
        <v>1.1742680300906811</v>
      </c>
      <c r="AV44" s="1440">
        <v>2.1924471877980629</v>
      </c>
    </row>
    <row r="45" spans="1:48" s="1284" customFormat="1" ht="15" x14ac:dyDescent="0.25">
      <c r="A45" s="1299">
        <v>2043</v>
      </c>
      <c r="B45" s="1353">
        <f>IF('Mkt Pen Veh-Mi'!B45=0,1,1/((1-Fuel2ShrbyTech!B46)/'Inputs 7&amp;8 Sleep'!$N58+Fuel2ShrbyTech!B46/'Inputs 7&amp;8 Sleep'!$T58))</f>
        <v>8.362456627677302</v>
      </c>
      <c r="C45" s="1354">
        <f>IF('Mkt Pen Veh-Mi'!C45=0,1,1/((1-Fuel2ShrbyTech!C46)/'Inputs 7&amp;8 Sleep'!$O58+Fuel2ShrbyTech!C46/'Inputs 7&amp;8 Sleep'!$U58))</f>
        <v>9.6972426327155858</v>
      </c>
      <c r="D45" s="1354">
        <f>IF('Mkt Pen Veh-Mi'!D45=0,1,1/((1-Fuel2ShrbyTech!D46)/'Inputs 7&amp;8 Sleep'!$P58+Fuel2ShrbyTech!D46/'Inputs 7&amp;8 Sleep'!$V58))</f>
        <v>9.7543525350545295</v>
      </c>
      <c r="E45" s="1354">
        <f>IF('Mkt Pen Veh-Mi'!E45=0,1,1/((1-Fuel2ShrbyTech!E46)/'Inputs 7&amp;8 Sleep'!$Q58+Fuel2ShrbyTech!E46/'Inputs 7&amp;8 Sleep'!$W58))</f>
        <v>11.117725035516859</v>
      </c>
      <c r="F45" s="1354">
        <f>IF('Mkt Pen Veh-Mi'!F45=0,1,1/((1-Fuel2ShrbyTech!F46)/'Inputs 7&amp;8 Sleep'!$R58+Fuel2ShrbyTech!F46/'Inputs 7&amp;8 Sleep'!$X58))</f>
        <v>13.67236857922556</v>
      </c>
      <c r="G45" s="1355">
        <f>IF('Mkt Pen Veh-Mi'!G45=0,1,1/((1-Fuel2ShrbyTech!G46)/'Inputs 7&amp;8 Sleep'!$S58+Fuel2ShrbyTech!G46/'Inputs 7&amp;8 Sleep'!$Y58))</f>
        <v>11.448056734339714</v>
      </c>
      <c r="H45" s="1353">
        <f>IF('Mkt Pen Veh-Mi'!H45=0,1,1/((1-Fuel2ShrbyTech!H46)/'Inputs 7&amp;8 Day'!$N58+Fuel2ShrbyTech!H46/'Inputs 7&amp;8 Day'!$T58))</f>
        <v>7.4253755280216653</v>
      </c>
      <c r="I45" s="1354">
        <f>IF('Mkt Pen Veh-Mi'!I45=0,1,1/((1-Fuel2ShrbyTech!I46)/'Inputs 7&amp;8 Day'!$O58+Fuel2ShrbyTech!I46/'Inputs 7&amp;8 Day'!$U58))</f>
        <v>8.7224884921000445</v>
      </c>
      <c r="J45" s="1354">
        <f>IF('Mkt Pen Veh-Mi'!J45=0,1,1/((1-Fuel2ShrbyTech!J46)/'Inputs 7&amp;8 Day'!$P58+Fuel2ShrbyTech!J46/'Inputs 7&amp;8 Day'!$V58))</f>
        <v>8.7709918578091095</v>
      </c>
      <c r="K45" s="1354">
        <f>IF('Mkt Pen Veh-Mi'!K45=0,1,1/((1-Fuel2ShrbyTech!K46)/'Inputs 7&amp;8 Day'!$Q58+Fuel2ShrbyTech!K46/'Inputs 7&amp;8 Day'!$W58))</f>
        <v>11.573917344679785</v>
      </c>
      <c r="L45" s="1354">
        <f>IF('Mkt Pen Veh-Mi'!L45=0,1,1/((1-Fuel2ShrbyTech!L46)/'Inputs 7&amp;8 Day'!$R58+Fuel2ShrbyTech!L46/'Inputs 7&amp;8 Day'!$X58))</f>
        <v>19.93549936079982</v>
      </c>
      <c r="M45" s="1355">
        <f>IF('Mkt Pen Veh-Mi'!M45=0,1,1/((1-Fuel2ShrbyTech!M46)/'Inputs 7&amp;8 Day'!$S58+Fuel2ShrbyTech!M46/'Inputs 7&amp;8 Day'!$Y58))</f>
        <v>10.791268348562058</v>
      </c>
      <c r="N45" s="1353">
        <f>IF('Mkt Pen Veh-Mi'!N45=0,1,1/((1-Fuel2ShrbyTech!N46)/'Inputs 7&amp;8 SU'!$N58+Fuel2ShrbyTech!N46/'Inputs 7&amp;8 SU'!$T58))</f>
        <v>8.2229642734760873</v>
      </c>
      <c r="O45" s="1354">
        <f>IF('Mkt Pen Veh-Mi'!O45=0,1,1/((1-Fuel2ShrbyTech!O46)/'Inputs 7&amp;8 SU'!$O58+Fuel2ShrbyTech!O46/'Inputs 7&amp;8 SU'!$U58))</f>
        <v>9.7351750732685431</v>
      </c>
      <c r="P45" s="1354">
        <f>IF('Mkt Pen Veh-Mi'!P45=0,1,1/((1-Fuel2ShrbyTech!P46)/'Inputs 7&amp;8 SU'!$P58+Fuel2ShrbyTech!P46/'Inputs 7&amp;8 SU'!$V58))</f>
        <v>10.318319339815629</v>
      </c>
      <c r="Q45" s="1354">
        <f>IF('Mkt Pen Veh-Mi'!Q45=0,1,1/((1-Fuel2ShrbyTech!Q46)/'Inputs 7&amp;8 SU'!$Q58+Fuel2ShrbyTech!Q46/'Inputs 7&amp;8 SU'!$W58))</f>
        <v>11.617882015838985</v>
      </c>
      <c r="R45" s="1354">
        <f>IF('Mkt Pen Veh-Mi'!R45=0,1,1/((1-Fuel2ShrbyTech!R46)/'Inputs 7&amp;8 SU'!$R58+Fuel2ShrbyTech!R46/'Inputs 7&amp;8 SU'!$X58))</f>
        <v>18.628056890749377</v>
      </c>
      <c r="S45" s="1355">
        <f>IF('Mkt Pen Veh-Mi'!S45=0,1,1/((1-Fuel2ShrbyTech!S46)/'Inputs 7&amp;8 SU'!$S58+Fuel2ShrbyTech!S46/'Inputs 7&amp;8 SU'!$Y58))</f>
        <v>27.552583862284436</v>
      </c>
      <c r="U45" s="1299">
        <f t="shared" si="13"/>
        <v>2043</v>
      </c>
      <c r="V45" s="1353">
        <f t="shared" si="14"/>
        <v>8.362456627677302</v>
      </c>
      <c r="W45" s="1354">
        <f t="shared" si="15"/>
        <v>9.6972426327155858</v>
      </c>
      <c r="X45" s="1354">
        <f t="shared" si="16"/>
        <v>9.7543525350545295</v>
      </c>
      <c r="Y45" s="1354">
        <f t="shared" si="17"/>
        <v>11.117725035516859</v>
      </c>
      <c r="Z45" s="1354">
        <f t="shared" si="18"/>
        <v>13.67236857922556</v>
      </c>
      <c r="AA45" s="1355">
        <f t="shared" si="19"/>
        <v>11.448056734339714</v>
      </c>
      <c r="AB45" s="1353">
        <f t="shared" si="20"/>
        <v>7.4253755280216653</v>
      </c>
      <c r="AC45" s="1354">
        <f t="shared" si="21"/>
        <v>8.7224884921000445</v>
      </c>
      <c r="AD45" s="1354">
        <f t="shared" si="22"/>
        <v>8.7709918578091095</v>
      </c>
      <c r="AE45" s="1354">
        <f t="shared" si="23"/>
        <v>11.573917344679785</v>
      </c>
      <c r="AF45" s="1354">
        <f t="shared" si="24"/>
        <v>19.93549936079982</v>
      </c>
      <c r="AG45" s="1355">
        <f t="shared" si="25"/>
        <v>10.791268348562058</v>
      </c>
      <c r="AH45" s="1353">
        <f t="shared" si="26"/>
        <v>8.2229642734760873</v>
      </c>
      <c r="AI45" s="1354">
        <f t="shared" si="27"/>
        <v>9.7351750732685431</v>
      </c>
      <c r="AJ45" s="1354">
        <f t="shared" si="28"/>
        <v>10.318319339815629</v>
      </c>
      <c r="AK45" s="1354">
        <f t="shared" si="29"/>
        <v>11.617882015838985</v>
      </c>
      <c r="AL45" s="1354">
        <f t="shared" si="30"/>
        <v>18.628056890749377</v>
      </c>
      <c r="AM45" s="1355">
        <f t="shared" si="31"/>
        <v>27.552583862284436</v>
      </c>
      <c r="AN45" s="1284">
        <v>2043</v>
      </c>
      <c r="AO45" s="1435">
        <f t="array" ref="AO45">1/SUMPRODUCT(IFERROR(1/V45:AA45,0),'Mkt Pen Veh-Mi'!B45:G45)</f>
        <v>10.225963321817062</v>
      </c>
      <c r="AP45" s="1436">
        <f t="array" ref="AP45">1/SUMPRODUCT(IFERROR(1/AB45:AG45,0),'Mkt Pen Veh-Mi'!H45:M45)</f>
        <v>9.2083732646620291</v>
      </c>
      <c r="AQ45" s="1440">
        <f t="array" ref="AQ45">1/SUMPRODUCT(IFERROR(1/AH45:AM45,0),'Mkt Pen Veh-Mi'!N45:S45)</f>
        <v>9.7766925035589107</v>
      </c>
      <c r="AR45" s="1433">
        <v>2043</v>
      </c>
      <c r="AS45" s="1435">
        <f t="shared" si="32"/>
        <v>1.2228420160616551</v>
      </c>
      <c r="AT45" s="1436">
        <f t="shared" si="33"/>
        <v>1.2401222308436441</v>
      </c>
      <c r="AU45" s="1436">
        <f t="shared" si="34"/>
        <v>1.1889498942728614</v>
      </c>
      <c r="AV45" s="1440">
        <v>2.2174143154278179</v>
      </c>
    </row>
    <row r="46" spans="1:48" s="1284" customFormat="1" ht="15" x14ac:dyDescent="0.25">
      <c r="A46" s="1299">
        <v>2044</v>
      </c>
      <c r="B46" s="1353">
        <f>IF('Mkt Pen Veh-Mi'!B46=0,1,1/((1-Fuel2ShrbyTech!B47)/'Inputs 7&amp;8 Sleep'!$N59+Fuel2ShrbyTech!B47/'Inputs 7&amp;8 Sleep'!$T59))</f>
        <v>8.3625014895964007</v>
      </c>
      <c r="C46" s="1354">
        <f>IF('Mkt Pen Veh-Mi'!C46=0,1,1/((1-Fuel2ShrbyTech!C47)/'Inputs 7&amp;8 Sleep'!$O59+Fuel2ShrbyTech!C47/'Inputs 7&amp;8 Sleep'!$U59))</f>
        <v>9.6972946553369095</v>
      </c>
      <c r="D46" s="1354">
        <f>IF('Mkt Pen Veh-Mi'!D46=0,1,1/((1-Fuel2ShrbyTech!D47)/'Inputs 7&amp;8 Sleep'!$P59+Fuel2ShrbyTech!D47/'Inputs 7&amp;8 Sleep'!$V59))</f>
        <v>9.754404864052308</v>
      </c>
      <c r="E46" s="1354">
        <f>IF('Mkt Pen Veh-Mi'!E46=0,1,1/((1-Fuel2ShrbyTech!E47)/'Inputs 7&amp;8 Sleep'!$Q59+Fuel2ShrbyTech!E47/'Inputs 7&amp;8 Sleep'!$W59))</f>
        <v>11.178293466296655</v>
      </c>
      <c r="F46" s="1354">
        <f>IF('Mkt Pen Veh-Mi'!F46=0,1,1/((1-Fuel2ShrbyTech!F47)/'Inputs 7&amp;8 Sleep'!$R59+Fuel2ShrbyTech!F47/'Inputs 7&amp;8 Sleep'!$X59))</f>
        <v>14.134270103002832</v>
      </c>
      <c r="G46" s="1355">
        <f>IF('Mkt Pen Veh-Mi'!G46=0,1,1/((1-Fuel2ShrbyTech!G47)/'Inputs 7&amp;8 Sleep'!$S59+Fuel2ShrbyTech!G47/'Inputs 7&amp;8 Sleep'!$Y59))</f>
        <v>11.547520847641007</v>
      </c>
      <c r="H46" s="1353">
        <f>IF('Mkt Pen Veh-Mi'!H46=0,1,1/((1-Fuel2ShrbyTech!H47)/'Inputs 7&amp;8 Day'!$N59+Fuel2ShrbyTech!H47/'Inputs 7&amp;8 Day'!$T59))</f>
        <v>7.4255121747920541</v>
      </c>
      <c r="I46" s="1354">
        <f>IF('Mkt Pen Veh-Mi'!I46=0,1,1/((1-Fuel2ShrbyTech!I47)/'Inputs 7&amp;8 Day'!$O59+Fuel2ShrbyTech!I47/'Inputs 7&amp;8 Day'!$U59))</f>
        <v>8.7226490092183617</v>
      </c>
      <c r="J46" s="1354">
        <f>IF('Mkt Pen Veh-Mi'!J46=0,1,1/((1-Fuel2ShrbyTech!J47)/'Inputs 7&amp;8 Day'!$P59+Fuel2ShrbyTech!J47/'Inputs 7&amp;8 Day'!$V59))</f>
        <v>8.7711532675190895</v>
      </c>
      <c r="K46" s="1354">
        <f>IF('Mkt Pen Veh-Mi'!K46=0,1,1/((1-Fuel2ShrbyTech!K47)/'Inputs 7&amp;8 Day'!$Q59+Fuel2ShrbyTech!K47/'Inputs 7&amp;8 Day'!$W59))</f>
        <v>11.80578505482714</v>
      </c>
      <c r="L46" s="1354">
        <f>IF('Mkt Pen Veh-Mi'!L46=0,1,1/((1-Fuel2ShrbyTech!L47)/'Inputs 7&amp;8 Day'!$R59+Fuel2ShrbyTech!L47/'Inputs 7&amp;8 Day'!$X59))</f>
        <v>20.015644703282518</v>
      </c>
      <c r="M46" s="1355">
        <f>IF('Mkt Pen Veh-Mi'!M46=0,1,1/((1-Fuel2ShrbyTech!M47)/'Inputs 7&amp;8 Day'!$S59+Fuel2ShrbyTech!M47/'Inputs 7&amp;8 Day'!$Y59))</f>
        <v>10.894319842946146</v>
      </c>
      <c r="N46" s="1353">
        <f>IF('Mkt Pen Veh-Mi'!N46=0,1,1/((1-Fuel2ShrbyTech!N47)/'Inputs 7&amp;8 SU'!$N59+Fuel2ShrbyTech!N47/'Inputs 7&amp;8 SU'!$T59))</f>
        <v>8.2229642734760873</v>
      </c>
      <c r="O46" s="1354">
        <f>IF('Mkt Pen Veh-Mi'!O46=0,1,1/((1-Fuel2ShrbyTech!O47)/'Inputs 7&amp;8 SU'!$O59+Fuel2ShrbyTech!O47/'Inputs 7&amp;8 SU'!$U59))</f>
        <v>9.7351750732685431</v>
      </c>
      <c r="P46" s="1354">
        <f>IF('Mkt Pen Veh-Mi'!P46=0,1,1/((1-Fuel2ShrbyTech!P47)/'Inputs 7&amp;8 SU'!$P59+Fuel2ShrbyTech!P47/'Inputs 7&amp;8 SU'!$V59))</f>
        <v>10.318319339815629</v>
      </c>
      <c r="Q46" s="1354">
        <f>IF('Mkt Pen Veh-Mi'!Q46=0,1,1/((1-Fuel2ShrbyTech!Q47)/'Inputs 7&amp;8 SU'!$Q59+Fuel2ShrbyTech!Q47/'Inputs 7&amp;8 SU'!$W59))</f>
        <v>11.617882015838985</v>
      </c>
      <c r="R46" s="1354">
        <f>IF('Mkt Pen Veh-Mi'!R46=0,1,1/((1-Fuel2ShrbyTech!R47)/'Inputs 7&amp;8 SU'!$R59+Fuel2ShrbyTech!R47/'Inputs 7&amp;8 SU'!$X59))</f>
        <v>19.674025258945075</v>
      </c>
      <c r="S46" s="1355">
        <f>IF('Mkt Pen Veh-Mi'!S46=0,1,1/((1-Fuel2ShrbyTech!S47)/'Inputs 7&amp;8 SU'!$S59+Fuel2ShrbyTech!S47/'Inputs 7&amp;8 SU'!$Y59))</f>
        <v>27.64569205657866</v>
      </c>
      <c r="U46" s="1299">
        <f t="shared" si="13"/>
        <v>2044</v>
      </c>
      <c r="V46" s="1353">
        <f t="shared" si="14"/>
        <v>8.3625014895964007</v>
      </c>
      <c r="W46" s="1354">
        <f t="shared" si="15"/>
        <v>9.6972946553369095</v>
      </c>
      <c r="X46" s="1354">
        <f t="shared" si="16"/>
        <v>9.754404864052308</v>
      </c>
      <c r="Y46" s="1354">
        <f t="shared" si="17"/>
        <v>11.178293466296655</v>
      </c>
      <c r="Z46" s="1354">
        <f t="shared" si="18"/>
        <v>14.134270103002832</v>
      </c>
      <c r="AA46" s="1355">
        <f t="shared" si="19"/>
        <v>11.547520847641007</v>
      </c>
      <c r="AB46" s="1353">
        <f t="shared" si="20"/>
        <v>7.4255121747920541</v>
      </c>
      <c r="AC46" s="1354">
        <f t="shared" si="21"/>
        <v>8.7226490092183617</v>
      </c>
      <c r="AD46" s="1354">
        <f t="shared" si="22"/>
        <v>8.7711532675190895</v>
      </c>
      <c r="AE46" s="1354">
        <f t="shared" si="23"/>
        <v>11.80578505482714</v>
      </c>
      <c r="AF46" s="1354">
        <f t="shared" si="24"/>
        <v>20.015644703282518</v>
      </c>
      <c r="AG46" s="1355">
        <f t="shared" si="25"/>
        <v>10.894319842946146</v>
      </c>
      <c r="AH46" s="1353">
        <f t="shared" si="26"/>
        <v>8.2229642734760873</v>
      </c>
      <c r="AI46" s="1354">
        <f t="shared" si="27"/>
        <v>9.7351750732685431</v>
      </c>
      <c r="AJ46" s="1354">
        <f t="shared" si="28"/>
        <v>10.318319339815629</v>
      </c>
      <c r="AK46" s="1354">
        <f t="shared" si="29"/>
        <v>11.617882015838985</v>
      </c>
      <c r="AL46" s="1354">
        <f t="shared" si="30"/>
        <v>19.674025258945075</v>
      </c>
      <c r="AM46" s="1355">
        <f t="shared" si="31"/>
        <v>27.64569205657866</v>
      </c>
      <c r="AN46" s="1284">
        <v>2044</v>
      </c>
      <c r="AO46" s="1435">
        <f t="array" ref="AO46">1/SUMPRODUCT(IFERROR(1/V46:AA46,0),'Mkt Pen Veh-Mi'!B46:G46)</f>
        <v>10.357031903081056</v>
      </c>
      <c r="AP46" s="1436">
        <f t="array" ref="AP46">1/SUMPRODUCT(IFERROR(1/AB46:AG46,0),'Mkt Pen Veh-Mi'!H46:M46)</f>
        <v>9.3727824143134555</v>
      </c>
      <c r="AQ46" s="1440">
        <f t="array" ref="AQ46">1/SUMPRODUCT(IFERROR(1/AH46:AM46,0),'Mkt Pen Veh-Mi'!N46:S46)</f>
        <v>9.9142962258231009</v>
      </c>
      <c r="AR46" s="1433">
        <v>2044</v>
      </c>
      <c r="AS46" s="1435">
        <f t="shared" si="32"/>
        <v>1.2385088260930064</v>
      </c>
      <c r="AT46" s="1436">
        <f t="shared" si="33"/>
        <v>1.2622405288260043</v>
      </c>
      <c r="AU46" s="1436">
        <f t="shared" si="34"/>
        <v>1.2056839718740548</v>
      </c>
      <c r="AV46" s="1440">
        <v>2.2420204999328672</v>
      </c>
    </row>
    <row r="47" spans="1:48" s="1284" customFormat="1" ht="15" x14ac:dyDescent="0.25">
      <c r="A47" s="1305">
        <v>2045</v>
      </c>
      <c r="B47" s="1356">
        <f>IF('Mkt Pen Veh-Mi'!B47=0,1,1/((1-Fuel2ShrbyTech!B48)/'Inputs 7&amp;8 Sleep'!$N60+Fuel2ShrbyTech!B48/'Inputs 7&amp;8 Sleep'!$T60))</f>
        <v>8.3625463515154994</v>
      </c>
      <c r="C47" s="1357">
        <f>IF('Mkt Pen Veh-Mi'!C47=0,1,1/((1-Fuel2ShrbyTech!C48)/'Inputs 7&amp;8 Sleep'!$O60+Fuel2ShrbyTech!C48/'Inputs 7&amp;8 Sleep'!$U60))</f>
        <v>9.6973466779582331</v>
      </c>
      <c r="D47" s="1357">
        <f>IF('Mkt Pen Veh-Mi'!D47=0,1,1/((1-Fuel2ShrbyTech!D48)/'Inputs 7&amp;8 Sleep'!$P60+Fuel2ShrbyTech!D48/'Inputs 7&amp;8 Sleep'!$V60))</f>
        <v>9.7544571930500865</v>
      </c>
      <c r="E47" s="1357">
        <f>IF('Mkt Pen Veh-Mi'!E47=0,1,1/((1-Fuel2ShrbyTech!E48)/'Inputs 7&amp;8 Sleep'!$Q60+Fuel2ShrbyTech!E48/'Inputs 7&amp;8 Sleep'!$W60))</f>
        <v>11.238862546293758</v>
      </c>
      <c r="F47" s="1357">
        <f>IF('Mkt Pen Veh-Mi'!F47=0,1,1/((1-Fuel2ShrbyTech!F48)/'Inputs 7&amp;8 Sleep'!$R60+Fuel2ShrbyTech!F48/'Inputs 7&amp;8 Sleep'!$X60))</f>
        <v>14.464210608174358</v>
      </c>
      <c r="G47" s="1358">
        <f>IF('Mkt Pen Veh-Mi'!G47=0,1,1/((1-Fuel2ShrbyTech!G48)/'Inputs 7&amp;8 Sleep'!$S60+Fuel2ShrbyTech!G48/'Inputs 7&amp;8 Sleep'!$Y60))</f>
        <v>11.646986027464271</v>
      </c>
      <c r="H47" s="1356">
        <f>IF('Mkt Pen Veh-Mi'!H47=0,1,1/((1-Fuel2ShrbyTech!H48)/'Inputs 7&amp;8 Day'!$N60+Fuel2ShrbyTech!H48/'Inputs 7&amp;8 Day'!$T60))</f>
        <v>7.425648821562441</v>
      </c>
      <c r="I47" s="1357">
        <f>IF('Mkt Pen Veh-Mi'!I47=0,1,1/((1-Fuel2ShrbyTech!I48)/'Inputs 7&amp;8 Day'!$O60+Fuel2ShrbyTech!I48/'Inputs 7&amp;8 Day'!$U60))</f>
        <v>8.7228095263366807</v>
      </c>
      <c r="J47" s="1357">
        <f>IF('Mkt Pen Veh-Mi'!J47=0,1,1/((1-Fuel2ShrbyTech!J48)/'Inputs 7&amp;8 Day'!$P60+Fuel2ShrbyTech!J48/'Inputs 7&amp;8 Day'!$V60))</f>
        <v>8.7713146772290695</v>
      </c>
      <c r="K47" s="1357">
        <f>IF('Mkt Pen Veh-Mi'!K47=0,1,1/((1-Fuel2ShrbyTech!K48)/'Inputs 7&amp;8 Day'!$Q60+Fuel2ShrbyTech!K48/'Inputs 7&amp;8 Day'!$W60))</f>
        <v>12.009087956313744</v>
      </c>
      <c r="L47" s="1357">
        <f>IF('Mkt Pen Veh-Mi'!L47=0,1,1/((1-Fuel2ShrbyTech!L48)/'Inputs 7&amp;8 Day'!$R60+Fuel2ShrbyTech!L48/'Inputs 7&amp;8 Day'!$X60))</f>
        <v>20.09579298198587</v>
      </c>
      <c r="M47" s="1358">
        <f>IF('Mkt Pen Veh-Mi'!M47=0,1,1/((1-Fuel2ShrbyTech!M48)/'Inputs 7&amp;8 Day'!$S60+Fuel2ShrbyTech!M48/'Inputs 7&amp;8 Day'!$Y60))</f>
        <v>10.997375122797722</v>
      </c>
      <c r="N47" s="1356">
        <f>IF('Mkt Pen Veh-Mi'!N47=0,1,1/((1-Fuel2ShrbyTech!N48)/'Inputs 7&amp;8 SU'!$N60+Fuel2ShrbyTech!N48/'Inputs 7&amp;8 SU'!$T60))</f>
        <v>8.2229642734760873</v>
      </c>
      <c r="O47" s="1357">
        <f>IF('Mkt Pen Veh-Mi'!O47=0,1,1/((1-Fuel2ShrbyTech!O48)/'Inputs 7&amp;8 SU'!$O60+Fuel2ShrbyTech!O48/'Inputs 7&amp;8 SU'!$U60))</f>
        <v>9.7351750732685431</v>
      </c>
      <c r="P47" s="1357">
        <f>IF('Mkt Pen Veh-Mi'!P47=0,1,1/((1-Fuel2ShrbyTech!P48)/'Inputs 7&amp;8 SU'!$P60+Fuel2ShrbyTech!P48/'Inputs 7&amp;8 SU'!$V60))</f>
        <v>10.318319339815629</v>
      </c>
      <c r="Q47" s="1357">
        <f>IF('Mkt Pen Veh-Mi'!Q47=0,1,1/((1-Fuel2ShrbyTech!Q48)/'Inputs 7&amp;8 SU'!$Q60+Fuel2ShrbyTech!Q48/'Inputs 7&amp;8 SU'!$W60))</f>
        <v>11.617882015838985</v>
      </c>
      <c r="R47" s="1357">
        <f>IF('Mkt Pen Veh-Mi'!R47=0,1,1/((1-Fuel2ShrbyTech!R48)/'Inputs 7&amp;8 SU'!$R60+Fuel2ShrbyTech!R48/'Inputs 7&amp;8 SU'!$X60))</f>
        <v>20.610425552579578</v>
      </c>
      <c r="S47" s="1358">
        <f>IF('Mkt Pen Veh-Mi'!S47=0,1,1/((1-Fuel2ShrbyTech!S48)/'Inputs 7&amp;8 SU'!$S60+Fuel2ShrbyTech!S48/'Inputs 7&amp;8 SU'!$Y60))</f>
        <v>27.738800250872895</v>
      </c>
      <c r="U47" s="1305">
        <f t="shared" si="13"/>
        <v>2045</v>
      </c>
      <c r="V47" s="1356">
        <f t="shared" si="14"/>
        <v>8.3625463515154994</v>
      </c>
      <c r="W47" s="1357">
        <f t="shared" si="15"/>
        <v>9.6973466779582331</v>
      </c>
      <c r="X47" s="1357">
        <f t="shared" si="16"/>
        <v>9.7544571930500865</v>
      </c>
      <c r="Y47" s="1357">
        <f t="shared" si="17"/>
        <v>11.238862546293758</v>
      </c>
      <c r="Z47" s="1357">
        <f t="shared" si="18"/>
        <v>14.464210608174358</v>
      </c>
      <c r="AA47" s="1358">
        <f t="shared" si="19"/>
        <v>11.646986027464271</v>
      </c>
      <c r="AB47" s="1356">
        <f t="shared" si="20"/>
        <v>7.425648821562441</v>
      </c>
      <c r="AC47" s="1357">
        <f t="shared" si="21"/>
        <v>8.7228095263366807</v>
      </c>
      <c r="AD47" s="1357">
        <f t="shared" si="22"/>
        <v>8.7713146772290695</v>
      </c>
      <c r="AE47" s="1357">
        <f t="shared" si="23"/>
        <v>12.009087956313744</v>
      </c>
      <c r="AF47" s="1357">
        <f t="shared" si="24"/>
        <v>20.09579298198587</v>
      </c>
      <c r="AG47" s="1358">
        <f t="shared" si="25"/>
        <v>10.997375122797722</v>
      </c>
      <c r="AH47" s="1356">
        <f t="shared" si="26"/>
        <v>8.2229642734760873</v>
      </c>
      <c r="AI47" s="1357">
        <f t="shared" si="27"/>
        <v>9.7351750732685431</v>
      </c>
      <c r="AJ47" s="1357">
        <f t="shared" si="28"/>
        <v>10.318319339815629</v>
      </c>
      <c r="AK47" s="1357">
        <f t="shared" si="29"/>
        <v>11.617882015838985</v>
      </c>
      <c r="AL47" s="1357">
        <f t="shared" si="30"/>
        <v>20.610425552579578</v>
      </c>
      <c r="AM47" s="1358">
        <f t="shared" si="31"/>
        <v>27.738800250872895</v>
      </c>
      <c r="AN47" s="1284">
        <v>2045</v>
      </c>
      <c r="AO47" s="1435">
        <f t="array" ref="AO47">1/SUMPRODUCT(IFERROR(1/V47:AA47,0),'Mkt Pen Veh-Mi'!B47:G47)</f>
        <v>10.497937669379079</v>
      </c>
      <c r="AP47" s="1436">
        <f t="array" ref="AP47">1/SUMPRODUCT(IFERROR(1/AB47:AG47,0),'Mkt Pen Veh-Mi'!H47:M47)</f>
        <v>9.5176553459026145</v>
      </c>
      <c r="AQ47" s="1440">
        <f t="array" ref="AQ47">1/SUMPRODUCT(IFERROR(1/AH47:AM47,0),'Mkt Pen Veh-Mi'!N47:S47)</f>
        <v>10.097757928836725</v>
      </c>
      <c r="AR47" s="1433">
        <v>2045</v>
      </c>
      <c r="AS47" s="1435">
        <f t="shared" si="32"/>
        <v>1.2553518065076665</v>
      </c>
      <c r="AT47" s="1436">
        <f t="shared" si="33"/>
        <v>1.2817271021847207</v>
      </c>
      <c r="AU47" s="1436">
        <f t="shared" si="34"/>
        <v>1.2279948681533195</v>
      </c>
      <c r="AV47" s="1440">
        <v>2.2603379864801605</v>
      </c>
    </row>
    <row r="48" spans="1:48" s="1284" customFormat="1" ht="15" x14ac:dyDescent="0.25">
      <c r="A48" s="1299">
        <v>2046</v>
      </c>
      <c r="B48" s="1359">
        <f>IF('Mkt Pen Veh-Mi'!B48=0,1,1/((1-Fuel2ShrbyTech!B49)/'Inputs 7&amp;8 Sleep'!$N61+Fuel2ShrbyTech!B49/'Inputs 7&amp;8 Sleep'!$T61))</f>
        <v>8.3625912134345981</v>
      </c>
      <c r="C48" s="1360">
        <f>IF('Mkt Pen Veh-Mi'!C48=0,1,1/((1-Fuel2ShrbyTech!C49)/'Inputs 7&amp;8 Sleep'!$O61+Fuel2ShrbyTech!C49/'Inputs 7&amp;8 Sleep'!$U61))</f>
        <v>9.697398700579555</v>
      </c>
      <c r="D48" s="1360">
        <f>IF('Mkt Pen Veh-Mi'!D48=0,1,1/((1-Fuel2ShrbyTech!D49)/'Inputs 7&amp;8 Sleep'!$P61+Fuel2ShrbyTech!D49/'Inputs 7&amp;8 Sleep'!$V61))</f>
        <v>9.754509522047865</v>
      </c>
      <c r="E48" s="1360">
        <f>IF('Mkt Pen Veh-Mi'!E48=0,1,1/((1-Fuel2ShrbyTech!E49)/'Inputs 7&amp;8 Sleep'!$Q61+Fuel2ShrbyTech!E49/'Inputs 7&amp;8 Sleep'!$W61))</f>
        <v>11.299432275508162</v>
      </c>
      <c r="F48" s="1360">
        <f>IF('Mkt Pen Veh-Mi'!F48=0,1,1/((1-Fuel2ShrbyTech!F49)/'Inputs 7&amp;8 Sleep'!$R61+Fuel2ShrbyTech!F49/'Inputs 7&amp;8 Sleep'!$X61))</f>
        <v>14.667173510160804</v>
      </c>
      <c r="G48" s="1361">
        <f>IF('Mkt Pen Veh-Mi'!G48=0,1,1/((1-Fuel2ShrbyTech!G49)/'Inputs 7&amp;8 Sleep'!$S61+Fuel2ShrbyTech!G49/'Inputs 7&amp;8 Sleep'!$Y61))</f>
        <v>11.746452273809512</v>
      </c>
      <c r="H48" s="1359">
        <f>IF('Mkt Pen Veh-Mi'!H48=0,1,1/((1-Fuel2ShrbyTech!H49)/'Inputs 7&amp;8 Day'!$N61+Fuel2ShrbyTech!H49/'Inputs 7&amp;8 Day'!$T61))</f>
        <v>7.4257854683328306</v>
      </c>
      <c r="I48" s="1360">
        <f>IF('Mkt Pen Veh-Mi'!I48=0,1,1/((1-Fuel2ShrbyTech!I49)/'Inputs 7&amp;8 Day'!$O61+Fuel2ShrbyTech!I49/'Inputs 7&amp;8 Day'!$U61))</f>
        <v>8.7229700434549997</v>
      </c>
      <c r="J48" s="1360">
        <f>IF('Mkt Pen Veh-Mi'!J48=0,1,1/((1-Fuel2ShrbyTech!J49)/'Inputs 7&amp;8 Day'!$P61+Fuel2ShrbyTech!J49/'Inputs 7&amp;8 Day'!$V61))</f>
        <v>8.7714760869390478</v>
      </c>
      <c r="K48" s="1360">
        <f>IF('Mkt Pen Veh-Mi'!K48=0,1,1/((1-Fuel2ShrbyTech!K49)/'Inputs 7&amp;8 Day'!$Q61+Fuel2ShrbyTech!K49/'Inputs 7&amp;8 Day'!$W61))</f>
        <v>12.15533887823991</v>
      </c>
      <c r="L48" s="1360">
        <f>IF('Mkt Pen Veh-Mi'!L48=0,1,1/((1-Fuel2ShrbyTech!L49)/'Inputs 7&amp;8 Day'!$R61+Fuel2ShrbyTech!L49/'Inputs 7&amp;8 Day'!$X61))</f>
        <v>20.175944196909864</v>
      </c>
      <c r="M48" s="1361">
        <f>IF('Mkt Pen Veh-Mi'!M48=0,1,1/((1-Fuel2ShrbyTech!M49)/'Inputs 7&amp;8 Day'!$S61+Fuel2ShrbyTech!M49/'Inputs 7&amp;8 Day'!$Y61))</f>
        <v>11.100434188116783</v>
      </c>
      <c r="N48" s="1359">
        <f>IF('Mkt Pen Veh-Mi'!N48=0,1,1/((1-Fuel2ShrbyTech!N49)/'Inputs 7&amp;8 SU'!$N61+Fuel2ShrbyTech!N49/'Inputs 7&amp;8 SU'!$T61))</f>
        <v>8.2229642734760873</v>
      </c>
      <c r="O48" s="1360">
        <f>IF('Mkt Pen Veh-Mi'!O48=0,1,1/((1-Fuel2ShrbyTech!O49)/'Inputs 7&amp;8 SU'!$O61+Fuel2ShrbyTech!O49/'Inputs 7&amp;8 SU'!$U61))</f>
        <v>9.7351750732685431</v>
      </c>
      <c r="P48" s="1360">
        <f>IF('Mkt Pen Veh-Mi'!P48=0,1,1/((1-Fuel2ShrbyTech!P49)/'Inputs 7&amp;8 SU'!$P61+Fuel2ShrbyTech!P49/'Inputs 7&amp;8 SU'!$V61))</f>
        <v>10.318319339815629</v>
      </c>
      <c r="Q48" s="1360">
        <f>IF('Mkt Pen Veh-Mi'!Q48=0,1,1/((1-Fuel2ShrbyTech!Q49)/'Inputs 7&amp;8 SU'!$Q61+Fuel2ShrbyTech!Q49/'Inputs 7&amp;8 SU'!$W61))</f>
        <v>11.617882015838985</v>
      </c>
      <c r="R48" s="1360">
        <f>IF('Mkt Pen Veh-Mi'!R48=0,1,1/((1-Fuel2ShrbyTech!R49)/'Inputs 7&amp;8 SU'!$R61+Fuel2ShrbyTech!R49/'Inputs 7&amp;8 SU'!$X61))</f>
        <v>21.016899564337681</v>
      </c>
      <c r="S48" s="1361">
        <f>IF('Mkt Pen Veh-Mi'!S48=0,1,1/((1-Fuel2ShrbyTech!S49)/'Inputs 7&amp;8 SU'!$S61+Fuel2ShrbyTech!S49/'Inputs 7&amp;8 SU'!$Y61))</f>
        <v>27.831908445167119</v>
      </c>
      <c r="U48" s="1299">
        <f t="shared" si="13"/>
        <v>2046</v>
      </c>
      <c r="V48" s="1359">
        <f t="shared" si="14"/>
        <v>8.3625912134345981</v>
      </c>
      <c r="W48" s="1360">
        <f t="shared" si="15"/>
        <v>9.697398700579555</v>
      </c>
      <c r="X48" s="1360">
        <f t="shared" si="16"/>
        <v>9.754509522047865</v>
      </c>
      <c r="Y48" s="1360">
        <f t="shared" si="17"/>
        <v>11.299432275508162</v>
      </c>
      <c r="Z48" s="1360">
        <f t="shared" si="18"/>
        <v>14.667173510160804</v>
      </c>
      <c r="AA48" s="1361">
        <f t="shared" si="19"/>
        <v>11.746452273809512</v>
      </c>
      <c r="AB48" s="1359">
        <f t="shared" si="20"/>
        <v>7.4257854683328306</v>
      </c>
      <c r="AC48" s="1360">
        <f t="shared" si="21"/>
        <v>8.7229700434549997</v>
      </c>
      <c r="AD48" s="1360">
        <f t="shared" si="22"/>
        <v>8.7714760869390478</v>
      </c>
      <c r="AE48" s="1360">
        <f t="shared" si="23"/>
        <v>12.15533887823991</v>
      </c>
      <c r="AF48" s="1360">
        <f t="shared" si="24"/>
        <v>20.175944196909864</v>
      </c>
      <c r="AG48" s="1361">
        <f t="shared" si="25"/>
        <v>11.100434188116783</v>
      </c>
      <c r="AH48" s="1359">
        <f t="shared" si="26"/>
        <v>8.2229642734760873</v>
      </c>
      <c r="AI48" s="1360">
        <f t="shared" si="27"/>
        <v>9.7351750732685431</v>
      </c>
      <c r="AJ48" s="1360">
        <f t="shared" si="28"/>
        <v>10.318319339815629</v>
      </c>
      <c r="AK48" s="1360">
        <f t="shared" si="29"/>
        <v>11.617882015838985</v>
      </c>
      <c r="AL48" s="1360">
        <f t="shared" si="30"/>
        <v>21.016899564337681</v>
      </c>
      <c r="AM48" s="1361">
        <f t="shared" si="31"/>
        <v>27.831908445167119</v>
      </c>
      <c r="AN48" s="1284">
        <v>2046</v>
      </c>
      <c r="AO48" s="1435">
        <f t="array" ref="AO48">1/SUMPRODUCT(IFERROR(1/V48:AA48,0),'Mkt Pen Veh-Mi'!B48:G48)</f>
        <v>10.585070216157055</v>
      </c>
      <c r="AP48" s="1436">
        <f t="array" ref="AP48">1/SUMPRODUCT(IFERROR(1/AB48:AG48,0),'Mkt Pen Veh-Mi'!H48:M48)</f>
        <v>9.6250698776223356</v>
      </c>
      <c r="AQ48" s="1440">
        <f t="array" ref="AQ48">1/SUMPRODUCT(IFERROR(1/AH48:AM48,0),'Mkt Pen Veh-Mi'!N48:S48)</f>
        <v>10.182898720631425</v>
      </c>
      <c r="AR48" s="1433">
        <v>2046</v>
      </c>
      <c r="AS48" s="1435">
        <f t="shared" si="32"/>
        <v>1.2657643959867391</v>
      </c>
      <c r="AT48" s="1436">
        <f t="shared" si="33"/>
        <v>1.2961685896621074</v>
      </c>
      <c r="AU48" s="1436">
        <f t="shared" si="34"/>
        <v>1.2383488948720454</v>
      </c>
      <c r="AV48" s="1440">
        <v>2.2751084089886593</v>
      </c>
    </row>
    <row r="49" spans="1:48" s="1284" customFormat="1" ht="15" x14ac:dyDescent="0.25">
      <c r="A49" s="1299">
        <v>2047</v>
      </c>
      <c r="B49" s="1353">
        <f>IF('Mkt Pen Veh-Mi'!B49=0,1,1/((1-Fuel2ShrbyTech!B50)/'Inputs 7&amp;8 Sleep'!$N62+Fuel2ShrbyTech!B50/'Inputs 7&amp;8 Sleep'!$T62))</f>
        <v>8.3626360753536968</v>
      </c>
      <c r="C49" s="1354">
        <f>IF('Mkt Pen Veh-Mi'!C49=0,1,1/((1-Fuel2ShrbyTech!C50)/'Inputs 7&amp;8 Sleep'!$O62+Fuel2ShrbyTech!C50/'Inputs 7&amp;8 Sleep'!$U62))</f>
        <v>9.6974507232008769</v>
      </c>
      <c r="D49" s="1354">
        <f>IF('Mkt Pen Veh-Mi'!D49=0,1,1/((1-Fuel2ShrbyTech!D50)/'Inputs 7&amp;8 Sleep'!$P62+Fuel2ShrbyTech!D50/'Inputs 7&amp;8 Sleep'!$V62))</f>
        <v>9.7545618510456436</v>
      </c>
      <c r="E49" s="1354">
        <f>IF('Mkt Pen Veh-Mi'!E49=0,1,1/((1-Fuel2ShrbyTech!E50)/'Inputs 7&amp;8 Sleep'!$Q62+Fuel2ShrbyTech!E50/'Inputs 7&amp;8 Sleep'!$W62))</f>
        <v>11.360002653939874</v>
      </c>
      <c r="F49" s="1354">
        <f>IF('Mkt Pen Veh-Mi'!F49=0,1,1/((1-Fuel2ShrbyTech!F50)/'Inputs 7&amp;8 Sleep'!$R62+Fuel2ShrbyTech!F50/'Inputs 7&amp;8 Sleep'!$X62))</f>
        <v>14.79404797959358</v>
      </c>
      <c r="G49" s="1355">
        <f>IF('Mkt Pen Veh-Mi'!G49=0,1,1/((1-Fuel2ShrbyTech!G50)/'Inputs 7&amp;8 Sleep'!$S62+Fuel2ShrbyTech!G50/'Inputs 7&amp;8 Sleep'!$Y62))</f>
        <v>11.845919586676727</v>
      </c>
      <c r="H49" s="1353">
        <f>IF('Mkt Pen Veh-Mi'!H49=0,1,1/((1-Fuel2ShrbyTech!H50)/'Inputs 7&amp;8 Day'!$N62+Fuel2ShrbyTech!H50/'Inputs 7&amp;8 Day'!$T62))</f>
        <v>7.4259221151032184</v>
      </c>
      <c r="I49" s="1354">
        <f>IF('Mkt Pen Veh-Mi'!I49=0,1,1/((1-Fuel2ShrbyTech!I50)/'Inputs 7&amp;8 Day'!$O62+Fuel2ShrbyTech!I50/'Inputs 7&amp;8 Day'!$U62))</f>
        <v>8.7231305605733169</v>
      </c>
      <c r="J49" s="1354">
        <f>IF('Mkt Pen Veh-Mi'!J49=0,1,1/((1-Fuel2ShrbyTech!J50)/'Inputs 7&amp;8 Day'!$P62+Fuel2ShrbyTech!J50/'Inputs 7&amp;8 Day'!$V62))</f>
        <v>8.7716374966490278</v>
      </c>
      <c r="K49" s="1354">
        <f>IF('Mkt Pen Veh-Mi'!K49=0,1,1/((1-Fuel2ShrbyTech!K50)/'Inputs 7&amp;8 Day'!$Q62+Fuel2ShrbyTech!K50/'Inputs 7&amp;8 Day'!$W62))</f>
        <v>12.276039244746778</v>
      </c>
      <c r="L49" s="1354">
        <f>IF('Mkt Pen Veh-Mi'!L49=0,1,1/((1-Fuel2ShrbyTech!L50)/'Inputs 7&amp;8 Day'!$R62+Fuel2ShrbyTech!L50/'Inputs 7&amp;8 Day'!$X62))</f>
        <v>20.256098348054515</v>
      </c>
      <c r="M49" s="1355">
        <f>IF('Mkt Pen Veh-Mi'!M49=0,1,1/((1-Fuel2ShrbyTech!M50)/'Inputs 7&amp;8 Day'!$S62+Fuel2ShrbyTech!M50/'Inputs 7&amp;8 Day'!$Y62))</f>
        <v>11.203497038903331</v>
      </c>
      <c r="N49" s="1353">
        <f>IF('Mkt Pen Veh-Mi'!N49=0,1,1/((1-Fuel2ShrbyTech!N50)/'Inputs 7&amp;8 SU'!$N62+Fuel2ShrbyTech!N50/'Inputs 7&amp;8 SU'!$T62))</f>
        <v>8.2229642734760873</v>
      </c>
      <c r="O49" s="1354">
        <f>IF('Mkt Pen Veh-Mi'!O49=0,1,1/((1-Fuel2ShrbyTech!O50)/'Inputs 7&amp;8 SU'!$O62+Fuel2ShrbyTech!O50/'Inputs 7&amp;8 SU'!$U62))</f>
        <v>9.7351750732685431</v>
      </c>
      <c r="P49" s="1354">
        <f>IF('Mkt Pen Veh-Mi'!P49=0,1,1/((1-Fuel2ShrbyTech!P50)/'Inputs 7&amp;8 SU'!$P62+Fuel2ShrbyTech!P50/'Inputs 7&amp;8 SU'!$V62))</f>
        <v>10.318319339815629</v>
      </c>
      <c r="Q49" s="1354">
        <f>IF('Mkt Pen Veh-Mi'!Q49=0,1,1/((1-Fuel2ShrbyTech!Q50)/'Inputs 7&amp;8 SU'!$Q62+Fuel2ShrbyTech!Q50/'Inputs 7&amp;8 SU'!$W62))</f>
        <v>11.617882015838985</v>
      </c>
      <c r="R49" s="1354">
        <f>IF('Mkt Pen Veh-Mi'!R49=0,1,1/((1-Fuel2ShrbyTech!R50)/'Inputs 7&amp;8 SU'!$R62+Fuel2ShrbyTech!R50/'Inputs 7&amp;8 SU'!$X62))</f>
        <v>21.340855192326604</v>
      </c>
      <c r="S49" s="1355">
        <f>IF('Mkt Pen Veh-Mi'!S49=0,1,1/((1-Fuel2ShrbyTech!S50)/'Inputs 7&amp;8 SU'!$S62+Fuel2ShrbyTech!S50/'Inputs 7&amp;8 SU'!$Y62))</f>
        <v>27.925016639461354</v>
      </c>
      <c r="U49" s="1299">
        <f t="shared" si="13"/>
        <v>2047</v>
      </c>
      <c r="V49" s="1353">
        <f t="shared" si="14"/>
        <v>8.3626360753536968</v>
      </c>
      <c r="W49" s="1354">
        <f t="shared" si="15"/>
        <v>9.6974507232008769</v>
      </c>
      <c r="X49" s="1354">
        <f t="shared" si="16"/>
        <v>9.7545618510456436</v>
      </c>
      <c r="Y49" s="1354">
        <f t="shared" si="17"/>
        <v>11.360002653939874</v>
      </c>
      <c r="Z49" s="1354">
        <f t="shared" si="18"/>
        <v>14.79404797959358</v>
      </c>
      <c r="AA49" s="1355">
        <f t="shared" si="19"/>
        <v>11.845919586676727</v>
      </c>
      <c r="AB49" s="1353">
        <f t="shared" si="20"/>
        <v>7.4259221151032184</v>
      </c>
      <c r="AC49" s="1354">
        <f t="shared" si="21"/>
        <v>8.7231305605733169</v>
      </c>
      <c r="AD49" s="1354">
        <f t="shared" si="22"/>
        <v>8.7716374966490278</v>
      </c>
      <c r="AE49" s="1354">
        <f t="shared" si="23"/>
        <v>12.276039244746778</v>
      </c>
      <c r="AF49" s="1354">
        <f t="shared" si="24"/>
        <v>20.256098348054515</v>
      </c>
      <c r="AG49" s="1355">
        <f t="shared" si="25"/>
        <v>11.203497038903331</v>
      </c>
      <c r="AH49" s="1353">
        <f t="shared" si="26"/>
        <v>8.2229642734760873</v>
      </c>
      <c r="AI49" s="1354">
        <f t="shared" si="27"/>
        <v>9.7351750732685431</v>
      </c>
      <c r="AJ49" s="1354">
        <f t="shared" si="28"/>
        <v>10.318319339815629</v>
      </c>
      <c r="AK49" s="1354">
        <f t="shared" si="29"/>
        <v>11.617882015838985</v>
      </c>
      <c r="AL49" s="1354">
        <f t="shared" si="30"/>
        <v>21.340855192326604</v>
      </c>
      <c r="AM49" s="1355">
        <f t="shared" si="31"/>
        <v>27.925016639461354</v>
      </c>
      <c r="AN49" s="1284">
        <v>2047</v>
      </c>
      <c r="AO49" s="1435">
        <f t="array" ref="AO49">1/SUMPRODUCT(IFERROR(1/V49:AA49,0),'Mkt Pen Veh-Mi'!B49:G49)</f>
        <v>10.655188108493894</v>
      </c>
      <c r="AP49" s="1436">
        <f t="array" ref="AP49">1/SUMPRODUCT(IFERROR(1/AB49:AG49,0),'Mkt Pen Veh-Mi'!H49:M49)</f>
        <v>9.7050229777847168</v>
      </c>
      <c r="AQ49" s="1440">
        <f t="array" ref="AQ49">1/SUMPRODUCT(IFERROR(1/AH49:AM49,0),'Mkt Pen Veh-Mi'!N49:S49)</f>
        <v>10.225450425073804</v>
      </c>
      <c r="AR49" s="1433">
        <v>2047</v>
      </c>
      <c r="AS49" s="1435">
        <f t="shared" si="32"/>
        <v>1.2741422695526343</v>
      </c>
      <c r="AT49" s="1436">
        <f t="shared" si="33"/>
        <v>1.3069114956169749</v>
      </c>
      <c r="AU49" s="1436">
        <f t="shared" si="34"/>
        <v>1.2435236351514887</v>
      </c>
      <c r="AV49" s="1440">
        <v>2.2883161082475314</v>
      </c>
    </row>
    <row r="50" spans="1:48" s="1284" customFormat="1" ht="15" x14ac:dyDescent="0.25">
      <c r="A50" s="1299">
        <v>2048</v>
      </c>
      <c r="B50" s="1353">
        <f>IF('Mkt Pen Veh-Mi'!B50=0,1,1/((1-Fuel2ShrbyTech!B51)/'Inputs 7&amp;8 Sleep'!$N63+Fuel2ShrbyTech!B51/'Inputs 7&amp;8 Sleep'!$T63))</f>
        <v>8.3626809372727955</v>
      </c>
      <c r="C50" s="1354">
        <f>IF('Mkt Pen Veh-Mi'!C50=0,1,1/((1-Fuel2ShrbyTech!C51)/'Inputs 7&amp;8 Sleep'!$O63+Fuel2ShrbyTech!C51/'Inputs 7&amp;8 Sleep'!$U63))</f>
        <v>9.6975027458221987</v>
      </c>
      <c r="D50" s="1354">
        <f>IF('Mkt Pen Veh-Mi'!D50=0,1,1/((1-Fuel2ShrbyTech!D51)/'Inputs 7&amp;8 Sleep'!$P63+Fuel2ShrbyTech!D51/'Inputs 7&amp;8 Sleep'!$V63))</f>
        <v>9.7546141800434221</v>
      </c>
      <c r="E50" s="1354">
        <f>IF('Mkt Pen Veh-Mi'!E50=0,1,1/((1-Fuel2ShrbyTech!E51)/'Inputs 7&amp;8 Sleep'!$Q63+Fuel2ShrbyTech!E51/'Inputs 7&amp;8 Sleep'!$W63))</f>
        <v>11.420573681588891</v>
      </c>
      <c r="F50" s="1354">
        <f>IF('Mkt Pen Veh-Mi'!F50=0,1,1/((1-Fuel2ShrbyTech!F51)/'Inputs 7&amp;8 Sleep'!$R63+Fuel2ShrbyTech!F51/'Inputs 7&amp;8 Sleep'!$X63))</f>
        <v>14.912637869025582</v>
      </c>
      <c r="G50" s="1355">
        <f>IF('Mkt Pen Veh-Mi'!G50=0,1,1/((1-Fuel2ShrbyTech!G51)/'Inputs 7&amp;8 Sleep'!$S63+Fuel2ShrbyTech!G51/'Inputs 7&amp;8 Sleep'!$Y63))</f>
        <v>11.945387966065917</v>
      </c>
      <c r="H50" s="1353">
        <f>IF('Mkt Pen Veh-Mi'!H50=0,1,1/((1-Fuel2ShrbyTech!H51)/'Inputs 7&amp;8 Day'!$N63+Fuel2ShrbyTech!H51/'Inputs 7&amp;8 Day'!$T63))</f>
        <v>7.4260587618736054</v>
      </c>
      <c r="I50" s="1354">
        <f>IF('Mkt Pen Veh-Mi'!I50=0,1,1/((1-Fuel2ShrbyTech!I51)/'Inputs 7&amp;8 Day'!$O63+Fuel2ShrbyTech!I51/'Inputs 7&amp;8 Day'!$U63))</f>
        <v>8.7232910776916359</v>
      </c>
      <c r="J50" s="1354">
        <f>IF('Mkt Pen Veh-Mi'!J50=0,1,1/((1-Fuel2ShrbyTech!J51)/'Inputs 7&amp;8 Day'!$P63+Fuel2ShrbyTech!J51/'Inputs 7&amp;8 Day'!$V63))</f>
        <v>8.7717989063590078</v>
      </c>
      <c r="K50" s="1354">
        <f>IF('Mkt Pen Veh-Mi'!K50=0,1,1/((1-Fuel2ShrbyTech!K51)/'Inputs 7&amp;8 Day'!$Q63+Fuel2ShrbyTech!K51/'Inputs 7&amp;8 Day'!$W63))</f>
        <v>12.379110942873966</v>
      </c>
      <c r="L50" s="1354">
        <f>IF('Mkt Pen Veh-Mi'!L50=0,1,1/((1-Fuel2ShrbyTech!L51)/'Inputs 7&amp;8 Day'!$R63+Fuel2ShrbyTech!L51/'Inputs 7&amp;8 Day'!$X63))</f>
        <v>20.336255435419812</v>
      </c>
      <c r="M50" s="1355">
        <f>IF('Mkt Pen Veh-Mi'!M50=0,1,1/((1-Fuel2ShrbyTech!M51)/'Inputs 7&amp;8 Day'!$S63+Fuel2ShrbyTech!M51/'Inputs 7&amp;8 Day'!$Y63))</f>
        <v>11.306563675157365</v>
      </c>
      <c r="N50" s="1353">
        <f>IF('Mkt Pen Veh-Mi'!N50=0,1,1/((1-Fuel2ShrbyTech!N51)/'Inputs 7&amp;8 SU'!$N63+Fuel2ShrbyTech!N51/'Inputs 7&amp;8 SU'!$T63))</f>
        <v>8.2229642734760873</v>
      </c>
      <c r="O50" s="1354">
        <f>IF('Mkt Pen Veh-Mi'!O50=0,1,1/((1-Fuel2ShrbyTech!O51)/'Inputs 7&amp;8 SU'!$O63+Fuel2ShrbyTech!O51/'Inputs 7&amp;8 SU'!$U63))</f>
        <v>9.7351750732685431</v>
      </c>
      <c r="P50" s="1354">
        <f>IF('Mkt Pen Veh-Mi'!P50=0,1,1/((1-Fuel2ShrbyTech!P51)/'Inputs 7&amp;8 SU'!$P63+Fuel2ShrbyTech!P51/'Inputs 7&amp;8 SU'!$V63))</f>
        <v>10.318319339815629</v>
      </c>
      <c r="Q50" s="1354">
        <f>IF('Mkt Pen Veh-Mi'!Q50=0,1,1/((1-Fuel2ShrbyTech!Q51)/'Inputs 7&amp;8 SU'!$Q63+Fuel2ShrbyTech!Q51/'Inputs 7&amp;8 SU'!$W63))</f>
        <v>11.617882015838985</v>
      </c>
      <c r="R50" s="1354">
        <f>IF('Mkt Pen Veh-Mi'!R50=0,1,1/((1-Fuel2ShrbyTech!R51)/'Inputs 7&amp;8 SU'!$R63+Fuel2ShrbyTech!R51/'Inputs 7&amp;8 SU'!$X63))</f>
        <v>21.471923333047304</v>
      </c>
      <c r="S50" s="1355">
        <f>IF('Mkt Pen Veh-Mi'!S50=0,1,1/((1-Fuel2ShrbyTech!S51)/'Inputs 7&amp;8 SU'!$S63+Fuel2ShrbyTech!S51/'Inputs 7&amp;8 SU'!$Y63))</f>
        <v>28.018124833755582</v>
      </c>
      <c r="U50" s="1299">
        <f t="shared" si="13"/>
        <v>2048</v>
      </c>
      <c r="V50" s="1353">
        <f t="shared" si="14"/>
        <v>8.3626809372727955</v>
      </c>
      <c r="W50" s="1354">
        <f t="shared" si="15"/>
        <v>9.6975027458221987</v>
      </c>
      <c r="X50" s="1354">
        <f t="shared" si="16"/>
        <v>9.7546141800434221</v>
      </c>
      <c r="Y50" s="1354">
        <f t="shared" si="17"/>
        <v>11.420573681588891</v>
      </c>
      <c r="Z50" s="1354">
        <f t="shared" si="18"/>
        <v>14.912637869025582</v>
      </c>
      <c r="AA50" s="1355">
        <f t="shared" si="19"/>
        <v>11.945387966065917</v>
      </c>
      <c r="AB50" s="1353">
        <f t="shared" si="20"/>
        <v>7.4260587618736054</v>
      </c>
      <c r="AC50" s="1354">
        <f t="shared" si="21"/>
        <v>8.7232910776916359</v>
      </c>
      <c r="AD50" s="1354">
        <f t="shared" si="22"/>
        <v>8.7717989063590078</v>
      </c>
      <c r="AE50" s="1354">
        <f t="shared" si="23"/>
        <v>12.379110942873966</v>
      </c>
      <c r="AF50" s="1354">
        <f t="shared" si="24"/>
        <v>20.336255435419812</v>
      </c>
      <c r="AG50" s="1355">
        <f t="shared" si="25"/>
        <v>11.306563675157365</v>
      </c>
      <c r="AH50" s="1353">
        <f t="shared" si="26"/>
        <v>8.2229642734760873</v>
      </c>
      <c r="AI50" s="1354">
        <f t="shared" si="27"/>
        <v>9.7351750732685431</v>
      </c>
      <c r="AJ50" s="1354">
        <f t="shared" si="28"/>
        <v>10.318319339815629</v>
      </c>
      <c r="AK50" s="1354">
        <f t="shared" si="29"/>
        <v>11.617882015838985</v>
      </c>
      <c r="AL50" s="1354">
        <f t="shared" si="30"/>
        <v>21.471923333047304</v>
      </c>
      <c r="AM50" s="1355">
        <f t="shared" si="31"/>
        <v>28.018124833755582</v>
      </c>
      <c r="AN50" s="1284">
        <v>2048</v>
      </c>
      <c r="AO50" s="1435">
        <f t="array" ref="AO50">1/SUMPRODUCT(IFERROR(1/V50:AA50,0),'Mkt Pen Veh-Mi'!B50:G50)</f>
        <v>10.712050692510909</v>
      </c>
      <c r="AP50" s="1436">
        <f t="array" ref="AP50">1/SUMPRODUCT(IFERROR(1/AB50:AG50,0),'Mkt Pen Veh-Mi'!H50:M50)</f>
        <v>9.788911013804233</v>
      </c>
      <c r="AQ50" s="1440">
        <f t="array" ref="AQ50">1/SUMPRODUCT(IFERROR(1/AH50:AM50,0),'Mkt Pen Veh-Mi'!N50:S50)</f>
        <v>10.264365448367998</v>
      </c>
      <c r="AR50" s="1433">
        <v>2048</v>
      </c>
      <c r="AS50" s="1435">
        <f t="shared" si="32"/>
        <v>1.2809349983408886</v>
      </c>
      <c r="AT50" s="1436">
        <f t="shared" si="33"/>
        <v>1.318183888344896</v>
      </c>
      <c r="AU50" s="1436">
        <f t="shared" si="34"/>
        <v>1.2482561162860253</v>
      </c>
      <c r="AV50" s="1440">
        <v>2.2967875867465612</v>
      </c>
    </row>
    <row r="51" spans="1:48" s="1284" customFormat="1" ht="15" x14ac:dyDescent="0.25">
      <c r="A51" s="1299">
        <v>2049</v>
      </c>
      <c r="B51" s="1353">
        <f>IF('Mkt Pen Veh-Mi'!B51=0,1,1/((1-Fuel2ShrbyTech!B52)/'Inputs 7&amp;8 Sleep'!$N64+Fuel2ShrbyTech!B52/'Inputs 7&amp;8 Sleep'!$T64))</f>
        <v>8.3627257991918924</v>
      </c>
      <c r="C51" s="1354">
        <f>IF('Mkt Pen Veh-Mi'!C51=0,1,1/((1-Fuel2ShrbyTech!C52)/'Inputs 7&amp;8 Sleep'!$O64+Fuel2ShrbyTech!C52/'Inputs 7&amp;8 Sleep'!$U64))</f>
        <v>9.6975547684435206</v>
      </c>
      <c r="D51" s="1354">
        <f>IF('Mkt Pen Veh-Mi'!D51=0,1,1/((1-Fuel2ShrbyTech!D52)/'Inputs 7&amp;8 Sleep'!$P64+Fuel2ShrbyTech!D52/'Inputs 7&amp;8 Sleep'!$V64))</f>
        <v>9.754666509041197</v>
      </c>
      <c r="E51" s="1354">
        <f>IF('Mkt Pen Veh-Mi'!E51=0,1,1/((1-Fuel2ShrbyTech!E52)/'Inputs 7&amp;8 Sleep'!$Q64+Fuel2ShrbyTech!E52/'Inputs 7&amp;8 Sleep'!$W64))</f>
        <v>11.481145358455208</v>
      </c>
      <c r="F51" s="1354">
        <f>IF('Mkt Pen Veh-Mi'!F51=0,1,1/((1-Fuel2ShrbyTech!F52)/'Inputs 7&amp;8 Sleep'!$R64+Fuel2ShrbyTech!F52/'Inputs 7&amp;8 Sleep'!$X64))</f>
        <v>15.014995266837946</v>
      </c>
      <c r="G51" s="1355">
        <f>IF('Mkt Pen Veh-Mi'!G51=0,1,1/((1-Fuel2ShrbyTech!G52)/'Inputs 7&amp;8 Sleep'!$S64+Fuel2ShrbyTech!G52/'Inputs 7&amp;8 Sleep'!$Y64))</f>
        <v>12.04485741197708</v>
      </c>
      <c r="H51" s="1353">
        <f>IF('Mkt Pen Veh-Mi'!H51=0,1,1/((1-Fuel2ShrbyTech!H52)/'Inputs 7&amp;8 Day'!$N64+Fuel2ShrbyTech!H52/'Inputs 7&amp;8 Day'!$T64))</f>
        <v>7.4261954086439923</v>
      </c>
      <c r="I51" s="1354">
        <f>IF('Mkt Pen Veh-Mi'!I51=0,1,1/((1-Fuel2ShrbyTech!I52)/'Inputs 7&amp;8 Day'!$O64+Fuel2ShrbyTech!I52/'Inputs 7&amp;8 Day'!$U64))</f>
        <v>8.7234515948099531</v>
      </c>
      <c r="J51" s="1354">
        <f>IF('Mkt Pen Veh-Mi'!J51=0,1,1/((1-Fuel2ShrbyTech!J52)/'Inputs 7&amp;8 Day'!$P64+Fuel2ShrbyTech!J52/'Inputs 7&amp;8 Day'!$V64))</f>
        <v>8.7719603160689879</v>
      </c>
      <c r="K51" s="1354">
        <f>IF('Mkt Pen Veh-Mi'!K51=0,1,1/((1-Fuel2ShrbyTech!K52)/'Inputs 7&amp;8 Day'!$Q64+Fuel2ShrbyTech!K52/'Inputs 7&amp;8 Day'!$W64))</f>
        <v>12.463075577080556</v>
      </c>
      <c r="L51" s="1354">
        <f>IF('Mkt Pen Veh-Mi'!L51=0,1,1/((1-Fuel2ShrbyTech!L52)/'Inputs 7&amp;8 Day'!$R64+Fuel2ShrbyTech!L52/'Inputs 7&amp;8 Day'!$X64))</f>
        <v>20.416415459005755</v>
      </c>
      <c r="M51" s="1355">
        <f>IF('Mkt Pen Veh-Mi'!M51=0,1,1/((1-Fuel2ShrbyTech!M52)/'Inputs 7&amp;8 Day'!$S64+Fuel2ShrbyTech!M52/'Inputs 7&amp;8 Day'!$Y64))</f>
        <v>11.409634096878888</v>
      </c>
      <c r="N51" s="1353">
        <f>IF('Mkt Pen Veh-Mi'!N51=0,1,1/((1-Fuel2ShrbyTech!N52)/'Inputs 7&amp;8 SU'!$N64+Fuel2ShrbyTech!N52/'Inputs 7&amp;8 SU'!$T64))</f>
        <v>8.2229642734760873</v>
      </c>
      <c r="O51" s="1354">
        <f>IF('Mkt Pen Veh-Mi'!O51=0,1,1/((1-Fuel2ShrbyTech!O52)/'Inputs 7&amp;8 SU'!$O64+Fuel2ShrbyTech!O52/'Inputs 7&amp;8 SU'!$U64))</f>
        <v>9.7351750732685431</v>
      </c>
      <c r="P51" s="1354">
        <f>IF('Mkt Pen Veh-Mi'!P51=0,1,1/((1-Fuel2ShrbyTech!P52)/'Inputs 7&amp;8 SU'!$P64+Fuel2ShrbyTech!P52/'Inputs 7&amp;8 SU'!$V64))</f>
        <v>10.318319339815629</v>
      </c>
      <c r="Q51" s="1354">
        <f>IF('Mkt Pen Veh-Mi'!Q51=0,1,1/((1-Fuel2ShrbyTech!Q52)/'Inputs 7&amp;8 SU'!$Q64+Fuel2ShrbyTech!Q52/'Inputs 7&amp;8 SU'!$W64))</f>
        <v>11.617882015838985</v>
      </c>
      <c r="R51" s="1354">
        <f>IF('Mkt Pen Veh-Mi'!R51=0,1,1/((1-Fuel2ShrbyTech!R52)/'Inputs 7&amp;8 SU'!$R64+Fuel2ShrbyTech!R52/'Inputs 7&amp;8 SU'!$X64))</f>
        <v>21.615369565797195</v>
      </c>
      <c r="S51" s="1355">
        <f>IF('Mkt Pen Veh-Mi'!S51=0,1,1/((1-Fuel2ShrbyTech!S52)/'Inputs 7&amp;8 SU'!$S64+Fuel2ShrbyTech!S52/'Inputs 7&amp;8 SU'!$Y64))</f>
        <v>28.11123302804981</v>
      </c>
      <c r="U51" s="1299">
        <f t="shared" si="13"/>
        <v>2049</v>
      </c>
      <c r="V51" s="1353">
        <f t="shared" si="14"/>
        <v>8.3627257991918924</v>
      </c>
      <c r="W51" s="1354">
        <f t="shared" si="15"/>
        <v>9.6975547684435206</v>
      </c>
      <c r="X51" s="1354">
        <f t="shared" si="16"/>
        <v>9.754666509041197</v>
      </c>
      <c r="Y51" s="1354">
        <f t="shared" si="17"/>
        <v>11.481145358455208</v>
      </c>
      <c r="Z51" s="1354">
        <f t="shared" si="18"/>
        <v>15.014995266837946</v>
      </c>
      <c r="AA51" s="1355">
        <f t="shared" si="19"/>
        <v>12.04485741197708</v>
      </c>
      <c r="AB51" s="1353">
        <f t="shared" si="20"/>
        <v>7.4261954086439923</v>
      </c>
      <c r="AC51" s="1354">
        <f t="shared" si="21"/>
        <v>8.7234515948099531</v>
      </c>
      <c r="AD51" s="1354">
        <f t="shared" si="22"/>
        <v>8.7719603160689879</v>
      </c>
      <c r="AE51" s="1354">
        <f t="shared" si="23"/>
        <v>12.463075577080556</v>
      </c>
      <c r="AF51" s="1354">
        <f t="shared" si="24"/>
        <v>20.416415459005755</v>
      </c>
      <c r="AG51" s="1355">
        <f t="shared" si="25"/>
        <v>11.409634096878888</v>
      </c>
      <c r="AH51" s="1353">
        <f t="shared" si="26"/>
        <v>8.2229642734760873</v>
      </c>
      <c r="AI51" s="1354">
        <f t="shared" si="27"/>
        <v>9.7351750732685431</v>
      </c>
      <c r="AJ51" s="1354">
        <f t="shared" si="28"/>
        <v>10.318319339815629</v>
      </c>
      <c r="AK51" s="1354">
        <f t="shared" si="29"/>
        <v>11.617882015838985</v>
      </c>
      <c r="AL51" s="1354">
        <f t="shared" si="30"/>
        <v>21.615369565797195</v>
      </c>
      <c r="AM51" s="1355">
        <f t="shared" si="31"/>
        <v>28.11123302804981</v>
      </c>
      <c r="AN51" s="1284">
        <v>2049</v>
      </c>
      <c r="AO51" s="1435">
        <f t="array" ref="AO51">1/SUMPRODUCT(IFERROR(1/V51:AA51,0),'Mkt Pen Veh-Mi'!B51:G51)</f>
        <v>10.762847555077386</v>
      </c>
      <c r="AP51" s="1436">
        <f t="array" ref="AP51">1/SUMPRODUCT(IFERROR(1/AB51:AG51,0),'Mkt Pen Veh-Mi'!H51:M51)</f>
        <v>9.8541413732258896</v>
      </c>
      <c r="AQ51" s="1440">
        <f t="array" ref="AQ51">1/SUMPRODUCT(IFERROR(1/AH51:AM51,0),'Mkt Pen Veh-Mi'!N51:S51)</f>
        <v>10.275828892065149</v>
      </c>
      <c r="AR51" s="1433">
        <v>2049</v>
      </c>
      <c r="AS51" s="1435">
        <f t="shared" si="32"/>
        <v>1.2870023259781425</v>
      </c>
      <c r="AT51" s="1436">
        <f t="shared" si="33"/>
        <v>1.3269434523303549</v>
      </c>
      <c r="AU51" s="1436">
        <f t="shared" si="34"/>
        <v>1.2496501930831394</v>
      </c>
      <c r="AV51" s="1440">
        <v>2.3322687300900027</v>
      </c>
    </row>
    <row r="52" spans="1:48" s="1284" customFormat="1" ht="15.75" thickBot="1" x14ac:dyDescent="0.3">
      <c r="A52" s="1312">
        <v>2050</v>
      </c>
      <c r="B52" s="1365">
        <f>IF('Mkt Pen Veh-Mi'!B52=0,1,1/((1-Fuel2ShrbyTech!B53)/'Inputs 7&amp;8 Sleep'!$N65+Fuel2ShrbyTech!B53/'Inputs 7&amp;8 Sleep'!$T65))</f>
        <v>8.3627706611109911</v>
      </c>
      <c r="C52" s="1366">
        <f>IF('Mkt Pen Veh-Mi'!C52=0,1,1/((1-Fuel2ShrbyTech!C53)/'Inputs 7&amp;8 Sleep'!$O65+Fuel2ShrbyTech!C53/'Inputs 7&amp;8 Sleep'!$U65))</f>
        <v>9.6976067910648442</v>
      </c>
      <c r="D52" s="1366">
        <f>IF('Mkt Pen Veh-Mi'!D52=0,1,1/((1-Fuel2ShrbyTech!D53)/'Inputs 7&amp;8 Sleep'!$P65+Fuel2ShrbyTech!D53/'Inputs 7&amp;8 Sleep'!$V65))</f>
        <v>9.7547188380389755</v>
      </c>
      <c r="E52" s="1366">
        <f>IF('Mkt Pen Veh-Mi'!E52=0,1,1/((1-Fuel2ShrbyTech!E53)/'Inputs 7&amp;8 Sleep'!$Q65+Fuel2ShrbyTech!E53/'Inputs 7&amp;8 Sleep'!$W65))</f>
        <v>11.541717684538837</v>
      </c>
      <c r="F52" s="1366">
        <f>IF('Mkt Pen Veh-Mi'!F52=0,1,1/((1-Fuel2ShrbyTech!F53)/'Inputs 7&amp;8 Sleep'!$R65+Fuel2ShrbyTech!F53/'Inputs 7&amp;8 Sleep'!$X65))</f>
        <v>15.11434872215102</v>
      </c>
      <c r="G52" s="1367">
        <f>IF('Mkt Pen Veh-Mi'!G52=0,1,1/((1-Fuel2ShrbyTech!G53)/'Inputs 7&amp;8 Sleep'!$S65+Fuel2ShrbyTech!G53/'Inputs 7&amp;8 Sleep'!$Y65))</f>
        <v>12.144327924410211</v>
      </c>
      <c r="H52" s="1365">
        <f>IF('Mkt Pen Veh-Mi'!H52=0,1,1/((1-Fuel2ShrbyTech!H53)/'Inputs 7&amp;8 Day'!$N65+Fuel2ShrbyTech!H53/'Inputs 7&amp;8 Day'!$T65))</f>
        <v>7.4263320554143801</v>
      </c>
      <c r="I52" s="1366">
        <f>IF('Mkt Pen Veh-Mi'!I52=0,1,1/((1-Fuel2ShrbyTech!I53)/'Inputs 7&amp;8 Day'!$O65+Fuel2ShrbyTech!I53/'Inputs 7&amp;8 Day'!$U65))</f>
        <v>8.7236121119282704</v>
      </c>
      <c r="J52" s="1366">
        <f>IF('Mkt Pen Veh-Mi'!J52=0,1,1/((1-Fuel2ShrbyTech!J53)/'Inputs 7&amp;8 Day'!$P65+Fuel2ShrbyTech!J53/'Inputs 7&amp;8 Day'!$V65))</f>
        <v>8.7721217257789661</v>
      </c>
      <c r="K52" s="1366">
        <f>IF('Mkt Pen Veh-Mi'!K52=0,1,1/((1-Fuel2ShrbyTech!K53)/'Inputs 7&amp;8 Day'!$Q65+Fuel2ShrbyTech!K53/'Inputs 7&amp;8 Day'!$W65))</f>
        <v>12.551284380264724</v>
      </c>
      <c r="L52" s="1366">
        <f>IF('Mkt Pen Veh-Mi'!L52=0,1,1/((1-Fuel2ShrbyTech!L53)/'Inputs 7&amp;8 Day'!$R65+Fuel2ShrbyTech!L53/'Inputs 7&amp;8 Day'!$X65))</f>
        <v>20.496578418812327</v>
      </c>
      <c r="M52" s="1367">
        <f>IF('Mkt Pen Veh-Mi'!M52=0,1,1/((1-Fuel2ShrbyTech!M53)/'Inputs 7&amp;8 Day'!$S65+Fuel2ShrbyTech!M53/'Inputs 7&amp;8 Day'!$Y65))</f>
        <v>11.5127083040679</v>
      </c>
      <c r="N52" s="1365">
        <f>IF('Mkt Pen Veh-Mi'!N52=0,1,1/((1-Fuel2ShrbyTech!N53)/'Inputs 7&amp;8 SU'!$N65+Fuel2ShrbyTech!N53/'Inputs 7&amp;8 SU'!$T65))</f>
        <v>8.2229642734760873</v>
      </c>
      <c r="O52" s="1366">
        <f>IF('Mkt Pen Veh-Mi'!O52=0,1,1/((1-Fuel2ShrbyTech!O53)/'Inputs 7&amp;8 SU'!$O65+Fuel2ShrbyTech!O53/'Inputs 7&amp;8 SU'!$U65))</f>
        <v>9.7351750732685431</v>
      </c>
      <c r="P52" s="1366">
        <f>IF('Mkt Pen Veh-Mi'!P52=0,1,1/((1-Fuel2ShrbyTech!P53)/'Inputs 7&amp;8 SU'!$P65+Fuel2ShrbyTech!P53/'Inputs 7&amp;8 SU'!$V65))</f>
        <v>10.318319339815629</v>
      </c>
      <c r="Q52" s="1366">
        <f>IF('Mkt Pen Veh-Mi'!Q52=0,1,1/((1-Fuel2ShrbyTech!Q53)/'Inputs 7&amp;8 SU'!$Q65+Fuel2ShrbyTech!Q53/'Inputs 7&amp;8 SU'!$W65))</f>
        <v>11.617882015838985</v>
      </c>
      <c r="R52" s="1366">
        <f>IF('Mkt Pen Veh-Mi'!R52=0,1,1/((1-Fuel2ShrbyTech!R53)/'Inputs 7&amp;8 SU'!$R65+Fuel2ShrbyTech!R53/'Inputs 7&amp;8 SU'!$X65))</f>
        <v>21.700815301589113</v>
      </c>
      <c r="S52" s="1367">
        <f>IF('Mkt Pen Veh-Mi'!S52=0,1,1/((1-Fuel2ShrbyTech!S53)/'Inputs 7&amp;8 SU'!$S65+Fuel2ShrbyTech!S53/'Inputs 7&amp;8 SU'!$Y65))</f>
        <v>28.204341222344041</v>
      </c>
      <c r="U52" s="1312">
        <f t="shared" si="13"/>
        <v>2050</v>
      </c>
      <c r="V52" s="1365">
        <f t="shared" si="14"/>
        <v>8.3627706611109911</v>
      </c>
      <c r="W52" s="1366">
        <f t="shared" si="15"/>
        <v>9.6976067910648442</v>
      </c>
      <c r="X52" s="1366">
        <f t="shared" si="16"/>
        <v>9.7547188380389755</v>
      </c>
      <c r="Y52" s="1366">
        <f t="shared" si="17"/>
        <v>11.541717684538837</v>
      </c>
      <c r="Z52" s="1366">
        <f t="shared" si="18"/>
        <v>15.11434872215102</v>
      </c>
      <c r="AA52" s="1367">
        <f t="shared" si="19"/>
        <v>12.144327924410211</v>
      </c>
      <c r="AB52" s="1365">
        <f t="shared" si="20"/>
        <v>7.4263320554143801</v>
      </c>
      <c r="AC52" s="1366">
        <f t="shared" si="21"/>
        <v>8.7236121119282704</v>
      </c>
      <c r="AD52" s="1366">
        <f t="shared" si="22"/>
        <v>8.7721217257789661</v>
      </c>
      <c r="AE52" s="1366">
        <f t="shared" si="23"/>
        <v>12.551284380264724</v>
      </c>
      <c r="AF52" s="1366">
        <f t="shared" si="24"/>
        <v>20.496578418812327</v>
      </c>
      <c r="AG52" s="1367">
        <f t="shared" si="25"/>
        <v>11.5127083040679</v>
      </c>
      <c r="AH52" s="1365">
        <f t="shared" si="26"/>
        <v>8.2229642734760873</v>
      </c>
      <c r="AI52" s="1366">
        <f t="shared" si="27"/>
        <v>9.7351750732685431</v>
      </c>
      <c r="AJ52" s="1366">
        <f t="shared" si="28"/>
        <v>10.318319339815629</v>
      </c>
      <c r="AK52" s="1366">
        <f t="shared" si="29"/>
        <v>11.617882015838985</v>
      </c>
      <c r="AL52" s="1366">
        <f t="shared" si="30"/>
        <v>21.700815301589113</v>
      </c>
      <c r="AM52" s="1367">
        <f t="shared" si="31"/>
        <v>28.204341222344041</v>
      </c>
      <c r="AN52" s="1284">
        <v>2050</v>
      </c>
      <c r="AO52" s="1437">
        <f t="array" ref="AO52">1/SUMPRODUCT(IFERROR(1/V52:AA52,0),'Mkt Pen Veh-Mi'!B52:G52)</f>
        <v>10.807578625032138</v>
      </c>
      <c r="AP52" s="1438">
        <f t="array" ref="AP52">1/SUMPRODUCT(IFERROR(1/AB52:AG52,0),'Mkt Pen Veh-Mi'!H52:M52)</f>
        <v>9.9117216730976061</v>
      </c>
      <c r="AQ52" s="1447">
        <f t="array" ref="AQ52">1/SUMPRODUCT(IFERROR(1/AH52:AM52,0),'Mkt Pen Veh-Mi'!N52:S52)</f>
        <v>10.29581170879919</v>
      </c>
      <c r="AR52" s="1433">
        <v>2050</v>
      </c>
      <c r="AS52" s="1444">
        <f t="shared" si="32"/>
        <v>1.2923442556293125</v>
      </c>
      <c r="AT52" s="1445">
        <f t="shared" si="33"/>
        <v>1.3346725677141222</v>
      </c>
      <c r="AU52" s="1445">
        <f t="shared" si="34"/>
        <v>1.2520803163415484</v>
      </c>
      <c r="AV52" s="1446">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284" customFormat="1" ht="15.75" x14ac:dyDescent="0.25">
      <c r="A1" s="1316" t="s">
        <v>338</v>
      </c>
    </row>
    <row r="2" spans="1:19" s="1284" customFormat="1" ht="15" x14ac:dyDescent="0.25"/>
    <row r="3" spans="1:19" s="1284" customFormat="1" ht="15.75" thickBot="1" x14ac:dyDescent="0.3"/>
    <row r="4" spans="1:19" s="1284" customFormat="1" ht="15" x14ac:dyDescent="0.25">
      <c r="A4" s="1285"/>
      <c r="B4" s="1618" t="s">
        <v>258</v>
      </c>
      <c r="C4" s="1619"/>
      <c r="D4" s="1619"/>
      <c r="E4" s="1619"/>
      <c r="F4" s="1619"/>
      <c r="G4" s="1620"/>
      <c r="H4" s="1618" t="s">
        <v>259</v>
      </c>
      <c r="I4" s="1619"/>
      <c r="J4" s="1619"/>
      <c r="K4" s="1619"/>
      <c r="L4" s="1619"/>
      <c r="M4" s="1620"/>
      <c r="N4" s="1618" t="s">
        <v>156</v>
      </c>
      <c r="O4" s="1619"/>
      <c r="P4" s="1619"/>
      <c r="Q4" s="1619"/>
      <c r="R4" s="1619"/>
      <c r="S4" s="1620"/>
    </row>
    <row r="5" spans="1:19" s="1284" customFormat="1" ht="15" x14ac:dyDescent="0.25">
      <c r="A5" s="1286"/>
      <c r="B5" s="1621" t="s">
        <v>129</v>
      </c>
      <c r="C5" s="1622"/>
      <c r="D5" s="1622"/>
      <c r="E5" s="1622"/>
      <c r="F5" s="1622"/>
      <c r="G5" s="1623"/>
      <c r="H5" s="1621" t="s">
        <v>129</v>
      </c>
      <c r="I5" s="1622"/>
      <c r="J5" s="1622"/>
      <c r="K5" s="1622"/>
      <c r="L5" s="1622"/>
      <c r="M5" s="1623"/>
      <c r="N5" s="1621" t="s">
        <v>129</v>
      </c>
      <c r="O5" s="1622"/>
      <c r="P5" s="1622"/>
      <c r="Q5" s="1622"/>
      <c r="R5" s="1622"/>
      <c r="S5" s="1623"/>
    </row>
    <row r="6" spans="1:19" s="1284" customFormat="1" ht="15"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row>
    <row r="7" spans="1:19" s="1284" customFormat="1" ht="45" x14ac:dyDescent="0.25">
      <c r="A7" s="1290"/>
      <c r="B7" s="1291" t="str">
        <f t="shared" ref="B7:G7" si="0">INDEX(TECH_OPT_DESC_Cls1,MATCH(B6,TECH_OPT_ROWS_Cls1,0))</f>
        <v>Conventional Diesel ICE</v>
      </c>
      <c r="C7" s="1292" t="str">
        <f t="shared" si="0"/>
        <v>Adv Conv</v>
      </c>
      <c r="D7" s="1292" t="str">
        <f t="shared" si="0"/>
        <v>ISG</v>
      </c>
      <c r="E7" s="1292" t="str">
        <f t="shared" si="0"/>
        <v>HEV</v>
      </c>
      <c r="F7" s="1292" t="str">
        <f t="shared" si="0"/>
        <v>PHEV</v>
      </c>
      <c r="G7" s="1293" t="str">
        <f t="shared"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row>
    <row r="8" spans="1:19" s="1284" customFormat="1" ht="15.75" thickBot="1" x14ac:dyDescent="0.3">
      <c r="A8" s="1294" t="s">
        <v>3</v>
      </c>
      <c r="B8" s="1295" t="str">
        <f t="shared" ref="B8:G8" si="3">INDEX(TECH_OPT_FUEL1_Cls1,MATCH(B6,TECH_OPT_ROWS_Cls1,0))</f>
        <v>Diesel</v>
      </c>
      <c r="C8" s="1296" t="str">
        <f t="shared" si="3"/>
        <v>Diesel</v>
      </c>
      <c r="D8" s="1296" t="str">
        <f t="shared" si="3"/>
        <v>Diesel</v>
      </c>
      <c r="E8" s="1296" t="str">
        <f t="shared" si="3"/>
        <v>Diesel</v>
      </c>
      <c r="F8" s="1296" t="str">
        <f t="shared" si="3"/>
        <v>Diesel</v>
      </c>
      <c r="G8" s="1297" t="str">
        <f t="shared" si="3"/>
        <v>Hydrogen</v>
      </c>
      <c r="H8" s="1298" t="str">
        <f t="shared" ref="H8:M8" si="4">INDEX(TECH_OPT_FUEL1_Cls2,MATCH(H6,TECH_OPT_ROWS_Cls2,0))</f>
        <v>Diesel</v>
      </c>
      <c r="I8" s="1296" t="str">
        <f t="shared" si="4"/>
        <v>Diesel</v>
      </c>
      <c r="J8" s="1296" t="str">
        <f t="shared" si="4"/>
        <v>Diesel</v>
      </c>
      <c r="K8" s="1296" t="str">
        <f t="shared" si="4"/>
        <v>Diesel</v>
      </c>
      <c r="L8" s="1296" t="str">
        <f t="shared" si="4"/>
        <v>Electricity</v>
      </c>
      <c r="M8" s="1297" t="str">
        <f t="shared" si="4"/>
        <v>Hydrogen</v>
      </c>
      <c r="N8" s="1295" t="str">
        <f t="shared" ref="N8:S8" si="5">INDEX(TECH_OPT_FUEL1_Cls3,MATCH(N6,TECH_OPT_ROWS_Cls3,0))</f>
        <v>Diesel</v>
      </c>
      <c r="O8" s="1296" t="str">
        <f t="shared" si="5"/>
        <v>Diesel</v>
      </c>
      <c r="P8" s="1296" t="str">
        <f t="shared" si="5"/>
        <v>Diesel</v>
      </c>
      <c r="Q8" s="1296" t="str">
        <f t="shared" si="5"/>
        <v>Diesel</v>
      </c>
      <c r="R8" s="1296" t="str">
        <f t="shared" si="5"/>
        <v>Diesel</v>
      </c>
      <c r="S8" s="1297" t="str">
        <f t="shared" si="5"/>
        <v>Electricity</v>
      </c>
    </row>
    <row r="9" spans="1:19" s="1284" customFormat="1" ht="15.75" thickTop="1" x14ac:dyDescent="0.25">
      <c r="A9" s="1299">
        <v>2007</v>
      </c>
      <c r="B9" s="1372">
        <f t="shared" ref="B9:B52" si="6">INDEX(COST_Cls1,MATCH($A9,Years,0),MATCH(B$6,TECHOPTS_Cls1,0))</f>
        <v>156000</v>
      </c>
      <c r="C9" s="1373">
        <f t="shared" ref="C9:G18" si="7">$B9+INDEX(COST_Cls1,MATCH($A9,Years,0),MATCH(C$6,TECHOPTS_Cls1,0))</f>
        <v>1156000</v>
      </c>
      <c r="D9" s="1373">
        <f t="shared" si="7"/>
        <v>1156000</v>
      </c>
      <c r="E9" s="1373">
        <f t="shared" si="7"/>
        <v>1156000</v>
      </c>
      <c r="F9" s="1373">
        <f t="shared" si="7"/>
        <v>1156000</v>
      </c>
      <c r="G9" s="1373">
        <f t="shared" si="7"/>
        <v>1156000</v>
      </c>
      <c r="H9" s="1372">
        <f t="shared" ref="H9:H52" si="8">INDEX(COST_Cls2,MATCH($A9,Years,0),MATCH(H$6,TECHOPTS_Cls1,0))</f>
        <v>136900</v>
      </c>
      <c r="I9" s="1373">
        <f t="shared" ref="I9:M18" si="9">$B9+INDEX(COST_Cls2,MATCH($A9,Years,0),MATCH(I$6,TECHOPTS_Cls1,0))</f>
        <v>1156000</v>
      </c>
      <c r="J9" s="1373">
        <f t="shared" si="9"/>
        <v>1156000</v>
      </c>
      <c r="K9" s="1373">
        <f t="shared" si="9"/>
        <v>1156000</v>
      </c>
      <c r="L9" s="1373">
        <f t="shared" si="9"/>
        <v>1156000</v>
      </c>
      <c r="M9" s="1374">
        <f t="shared" si="9"/>
        <v>1156000</v>
      </c>
      <c r="N9" s="1372">
        <f t="shared" ref="N9:N52" si="10">INDEX(COST_Cls3,MATCH($A9,Years,0),MATCH(N$6,TECHOPTS_Cls1,0))</f>
        <v>96771.806566877567</v>
      </c>
      <c r="O9" s="1373">
        <f t="shared" ref="O9:S18" si="11">$B9+INDEX(COST_Cls3,MATCH($A9,Years,0),MATCH(O$6,TECHOPTS_Cls1,0))</f>
        <v>1156000</v>
      </c>
      <c r="P9" s="1373">
        <f t="shared" si="11"/>
        <v>1156000</v>
      </c>
      <c r="Q9" s="1373">
        <f t="shared" si="11"/>
        <v>1156000</v>
      </c>
      <c r="R9" s="1373">
        <f t="shared" si="11"/>
        <v>1156000</v>
      </c>
      <c r="S9" s="1374">
        <f t="shared" si="11"/>
        <v>1156000</v>
      </c>
    </row>
    <row r="10" spans="1:19" s="1284" customFormat="1" ht="15" x14ac:dyDescent="0.25">
      <c r="A10" s="1299">
        <v>2008</v>
      </c>
      <c r="B10" s="1372">
        <f t="shared" si="6"/>
        <v>156000</v>
      </c>
      <c r="C10" s="1375">
        <f t="shared" si="7"/>
        <v>1156000</v>
      </c>
      <c r="D10" s="1375">
        <f t="shared" si="7"/>
        <v>1156000</v>
      </c>
      <c r="E10" s="1375">
        <f t="shared" si="7"/>
        <v>1156000</v>
      </c>
      <c r="F10" s="1375">
        <f t="shared" si="7"/>
        <v>1156000</v>
      </c>
      <c r="G10" s="1376">
        <f t="shared" si="7"/>
        <v>1156000</v>
      </c>
      <c r="H10" s="1372">
        <f t="shared" si="8"/>
        <v>136900</v>
      </c>
      <c r="I10" s="1375">
        <f t="shared" si="9"/>
        <v>1156000</v>
      </c>
      <c r="J10" s="1375">
        <f t="shared" si="9"/>
        <v>1156000</v>
      </c>
      <c r="K10" s="1375">
        <f t="shared" si="9"/>
        <v>1156000</v>
      </c>
      <c r="L10" s="1375">
        <f t="shared" si="9"/>
        <v>1156000</v>
      </c>
      <c r="M10" s="1376">
        <f t="shared" si="9"/>
        <v>1156000</v>
      </c>
      <c r="N10" s="1372">
        <f t="shared" si="10"/>
        <v>96771.806566877567</v>
      </c>
      <c r="O10" s="1375">
        <f t="shared" si="11"/>
        <v>1156000</v>
      </c>
      <c r="P10" s="1375">
        <f t="shared" si="11"/>
        <v>1156000</v>
      </c>
      <c r="Q10" s="1375">
        <f t="shared" si="11"/>
        <v>1156000</v>
      </c>
      <c r="R10" s="1375">
        <f t="shared" si="11"/>
        <v>1156000</v>
      </c>
      <c r="S10" s="1376">
        <f t="shared" si="11"/>
        <v>1156000</v>
      </c>
    </row>
    <row r="11" spans="1:19" s="1284" customFormat="1" ht="15" x14ac:dyDescent="0.25">
      <c r="A11" s="1299">
        <v>2009</v>
      </c>
      <c r="B11" s="1372">
        <f t="shared" si="6"/>
        <v>156000</v>
      </c>
      <c r="C11" s="1375">
        <f t="shared" si="7"/>
        <v>1156000</v>
      </c>
      <c r="D11" s="1375">
        <f t="shared" si="7"/>
        <v>1156000</v>
      </c>
      <c r="E11" s="1375">
        <f t="shared" si="7"/>
        <v>1156000</v>
      </c>
      <c r="F11" s="1375">
        <f t="shared" si="7"/>
        <v>1156000</v>
      </c>
      <c r="G11" s="1376">
        <f t="shared" si="7"/>
        <v>1156000</v>
      </c>
      <c r="H11" s="1372">
        <f t="shared" si="8"/>
        <v>136900</v>
      </c>
      <c r="I11" s="1375">
        <f t="shared" si="9"/>
        <v>1156000</v>
      </c>
      <c r="J11" s="1375">
        <f t="shared" si="9"/>
        <v>1156000</v>
      </c>
      <c r="K11" s="1375">
        <f t="shared" si="9"/>
        <v>1156000</v>
      </c>
      <c r="L11" s="1375">
        <f t="shared" si="9"/>
        <v>1156000</v>
      </c>
      <c r="M11" s="1376">
        <f t="shared" si="9"/>
        <v>1156000</v>
      </c>
      <c r="N11" s="1372">
        <f t="shared" si="10"/>
        <v>96771.806566877567</v>
      </c>
      <c r="O11" s="1375">
        <f t="shared" si="11"/>
        <v>1156000</v>
      </c>
      <c r="P11" s="1375">
        <f t="shared" si="11"/>
        <v>1156000</v>
      </c>
      <c r="Q11" s="1375">
        <f t="shared" si="11"/>
        <v>1156000</v>
      </c>
      <c r="R11" s="1375">
        <f t="shared" si="11"/>
        <v>1156000</v>
      </c>
      <c r="S11" s="1376">
        <f t="shared" si="11"/>
        <v>1156000</v>
      </c>
    </row>
    <row r="12" spans="1:19" s="1284" customFormat="1" ht="15" x14ac:dyDescent="0.25">
      <c r="A12" s="1305">
        <v>2010</v>
      </c>
      <c r="B12" s="1377">
        <f t="shared" si="6"/>
        <v>156000</v>
      </c>
      <c r="C12" s="1378">
        <f t="shared" si="7"/>
        <v>1156000</v>
      </c>
      <c r="D12" s="1378">
        <f t="shared" si="7"/>
        <v>1156000</v>
      </c>
      <c r="E12" s="1378">
        <f t="shared" si="7"/>
        <v>1156000</v>
      </c>
      <c r="F12" s="1378">
        <f t="shared" si="7"/>
        <v>1156000</v>
      </c>
      <c r="G12" s="1379">
        <f t="shared" si="7"/>
        <v>1156000</v>
      </c>
      <c r="H12" s="1377">
        <f t="shared" si="8"/>
        <v>136900</v>
      </c>
      <c r="I12" s="1378">
        <f t="shared" si="9"/>
        <v>1156000</v>
      </c>
      <c r="J12" s="1378">
        <f t="shared" si="9"/>
        <v>1156000</v>
      </c>
      <c r="K12" s="1378">
        <f t="shared" si="9"/>
        <v>1156000</v>
      </c>
      <c r="L12" s="1378">
        <f t="shared" si="9"/>
        <v>1156000</v>
      </c>
      <c r="M12" s="1379">
        <f t="shared" si="9"/>
        <v>1156000</v>
      </c>
      <c r="N12" s="1377">
        <f t="shared" si="10"/>
        <v>96771.806566877567</v>
      </c>
      <c r="O12" s="1378">
        <f t="shared" si="11"/>
        <v>1156000</v>
      </c>
      <c r="P12" s="1378">
        <f t="shared" si="11"/>
        <v>1156000</v>
      </c>
      <c r="Q12" s="1378">
        <f t="shared" si="11"/>
        <v>1156000</v>
      </c>
      <c r="R12" s="1378">
        <f t="shared" si="11"/>
        <v>1156000</v>
      </c>
      <c r="S12" s="1379">
        <f t="shared" si="11"/>
        <v>1156000</v>
      </c>
    </row>
    <row r="13" spans="1:19" s="1284" customFormat="1" ht="15" x14ac:dyDescent="0.25">
      <c r="A13" s="1299">
        <v>2011</v>
      </c>
      <c r="B13" s="1380">
        <f t="shared" si="6"/>
        <v>156000</v>
      </c>
      <c r="C13" s="1381">
        <f t="shared" si="7"/>
        <v>1156000</v>
      </c>
      <c r="D13" s="1381">
        <f t="shared" si="7"/>
        <v>1156000</v>
      </c>
      <c r="E13" s="1381">
        <f t="shared" si="7"/>
        <v>1156000</v>
      </c>
      <c r="F13" s="1381">
        <f t="shared" si="7"/>
        <v>1156000</v>
      </c>
      <c r="G13" s="1382">
        <f t="shared" si="7"/>
        <v>1156000</v>
      </c>
      <c r="H13" s="1380">
        <f t="shared" si="8"/>
        <v>136900</v>
      </c>
      <c r="I13" s="1381">
        <f t="shared" si="9"/>
        <v>1156000</v>
      </c>
      <c r="J13" s="1381">
        <f t="shared" si="9"/>
        <v>1156000</v>
      </c>
      <c r="K13" s="1381">
        <f t="shared" si="9"/>
        <v>1156000</v>
      </c>
      <c r="L13" s="1381">
        <f t="shared" si="9"/>
        <v>1156000</v>
      </c>
      <c r="M13" s="1382">
        <f t="shared" si="9"/>
        <v>1156000</v>
      </c>
      <c r="N13" s="1380">
        <f t="shared" si="10"/>
        <v>96771.806566877567</v>
      </c>
      <c r="O13" s="1381">
        <f t="shared" si="11"/>
        <v>1156000</v>
      </c>
      <c r="P13" s="1381">
        <f t="shared" si="11"/>
        <v>1156000</v>
      </c>
      <c r="Q13" s="1381">
        <f t="shared" si="11"/>
        <v>1156000</v>
      </c>
      <c r="R13" s="1381">
        <f t="shared" si="11"/>
        <v>1156000</v>
      </c>
      <c r="S13" s="1382">
        <f t="shared" si="11"/>
        <v>1156000</v>
      </c>
    </row>
    <row r="14" spans="1:19" s="1284" customFormat="1" ht="15" x14ac:dyDescent="0.25">
      <c r="A14" s="1299">
        <v>2012</v>
      </c>
      <c r="B14" s="1372">
        <f t="shared" si="6"/>
        <v>156000</v>
      </c>
      <c r="C14" s="1375">
        <f t="shared" si="7"/>
        <v>1156000</v>
      </c>
      <c r="D14" s="1375">
        <f t="shared" si="7"/>
        <v>1156000</v>
      </c>
      <c r="E14" s="1375">
        <f t="shared" si="7"/>
        <v>1156000</v>
      </c>
      <c r="F14" s="1375">
        <f t="shared" si="7"/>
        <v>1156000</v>
      </c>
      <c r="G14" s="1376">
        <f t="shared" si="7"/>
        <v>1156000</v>
      </c>
      <c r="H14" s="1372">
        <f t="shared" si="8"/>
        <v>136900</v>
      </c>
      <c r="I14" s="1375">
        <f t="shared" si="9"/>
        <v>1156000</v>
      </c>
      <c r="J14" s="1375">
        <f t="shared" si="9"/>
        <v>1156000</v>
      </c>
      <c r="K14" s="1375">
        <f t="shared" si="9"/>
        <v>1156000</v>
      </c>
      <c r="L14" s="1375">
        <f t="shared" si="9"/>
        <v>1156000</v>
      </c>
      <c r="M14" s="1376">
        <f t="shared" si="9"/>
        <v>1156000</v>
      </c>
      <c r="N14" s="1372">
        <f t="shared" si="10"/>
        <v>96771.806566877567</v>
      </c>
      <c r="O14" s="1375">
        <f t="shared" si="11"/>
        <v>1156000</v>
      </c>
      <c r="P14" s="1375">
        <f t="shared" si="11"/>
        <v>1156000</v>
      </c>
      <c r="Q14" s="1375">
        <f t="shared" si="11"/>
        <v>1156000</v>
      </c>
      <c r="R14" s="1375">
        <f t="shared" si="11"/>
        <v>1156000</v>
      </c>
      <c r="S14" s="1376">
        <f t="shared" si="11"/>
        <v>1156000</v>
      </c>
    </row>
    <row r="15" spans="1:19" s="1284" customFormat="1" ht="15" x14ac:dyDescent="0.25">
      <c r="A15" s="1299">
        <v>2013</v>
      </c>
      <c r="B15" s="1372">
        <f t="shared" si="6"/>
        <v>156000</v>
      </c>
      <c r="C15" s="1375">
        <f t="shared" si="7"/>
        <v>1156000</v>
      </c>
      <c r="D15" s="1375">
        <f t="shared" si="7"/>
        <v>1156000</v>
      </c>
      <c r="E15" s="1375">
        <f t="shared" si="7"/>
        <v>1156000</v>
      </c>
      <c r="F15" s="1375">
        <f t="shared" si="7"/>
        <v>1156000</v>
      </c>
      <c r="G15" s="1376">
        <f t="shared" si="7"/>
        <v>1156000</v>
      </c>
      <c r="H15" s="1372">
        <f t="shared" si="8"/>
        <v>136900</v>
      </c>
      <c r="I15" s="1375">
        <f t="shared" si="9"/>
        <v>1156000</v>
      </c>
      <c r="J15" s="1375">
        <f t="shared" si="9"/>
        <v>1156000</v>
      </c>
      <c r="K15" s="1375">
        <f t="shared" si="9"/>
        <v>1156000</v>
      </c>
      <c r="L15" s="1375">
        <f t="shared" si="9"/>
        <v>1156000</v>
      </c>
      <c r="M15" s="1376">
        <f t="shared" si="9"/>
        <v>1156000</v>
      </c>
      <c r="N15" s="1372">
        <f t="shared" si="10"/>
        <v>96771.806566877567</v>
      </c>
      <c r="O15" s="1375">
        <f t="shared" si="11"/>
        <v>1156000</v>
      </c>
      <c r="P15" s="1375">
        <f t="shared" si="11"/>
        <v>1156000</v>
      </c>
      <c r="Q15" s="1375">
        <f t="shared" si="11"/>
        <v>1156000</v>
      </c>
      <c r="R15" s="1375">
        <f t="shared" si="11"/>
        <v>1156000</v>
      </c>
      <c r="S15" s="1376">
        <f t="shared" si="11"/>
        <v>1156000</v>
      </c>
    </row>
    <row r="16" spans="1:19" s="1284" customFormat="1" ht="15" x14ac:dyDescent="0.25">
      <c r="A16" s="1299">
        <v>2014</v>
      </c>
      <c r="B16" s="1372">
        <f t="shared" si="6"/>
        <v>156000</v>
      </c>
      <c r="C16" s="1375">
        <f t="shared" si="7"/>
        <v>1156000</v>
      </c>
      <c r="D16" s="1375">
        <f t="shared" si="7"/>
        <v>1156000</v>
      </c>
      <c r="E16" s="1375">
        <f t="shared" si="7"/>
        <v>1156000</v>
      </c>
      <c r="F16" s="1375">
        <f t="shared" si="7"/>
        <v>1156000</v>
      </c>
      <c r="G16" s="1376">
        <f t="shared" si="7"/>
        <v>1156000</v>
      </c>
      <c r="H16" s="1372">
        <f t="shared" si="8"/>
        <v>136900</v>
      </c>
      <c r="I16" s="1375">
        <f t="shared" si="9"/>
        <v>1156000</v>
      </c>
      <c r="J16" s="1375">
        <f t="shared" si="9"/>
        <v>1156000</v>
      </c>
      <c r="K16" s="1375">
        <f t="shared" si="9"/>
        <v>1156000</v>
      </c>
      <c r="L16" s="1375">
        <f t="shared" si="9"/>
        <v>1156000</v>
      </c>
      <c r="M16" s="1376">
        <f t="shared" si="9"/>
        <v>1156000</v>
      </c>
      <c r="N16" s="1372">
        <f t="shared" si="10"/>
        <v>96771.806566877567</v>
      </c>
      <c r="O16" s="1375">
        <f t="shared" si="11"/>
        <v>1156000</v>
      </c>
      <c r="P16" s="1375">
        <f t="shared" si="11"/>
        <v>1156000</v>
      </c>
      <c r="Q16" s="1375">
        <f t="shared" si="11"/>
        <v>1156000</v>
      </c>
      <c r="R16" s="1375">
        <f t="shared" si="11"/>
        <v>1156000</v>
      </c>
      <c r="S16" s="1376">
        <f t="shared" si="11"/>
        <v>1156000</v>
      </c>
    </row>
    <row r="17" spans="1:19" s="1284" customFormat="1" ht="15" x14ac:dyDescent="0.25">
      <c r="A17" s="1305">
        <v>2015</v>
      </c>
      <c r="B17" s="1377">
        <f t="shared" si="6"/>
        <v>156000</v>
      </c>
      <c r="C17" s="1378">
        <f t="shared" si="7"/>
        <v>1156000</v>
      </c>
      <c r="D17" s="1378">
        <f t="shared" si="7"/>
        <v>1156000</v>
      </c>
      <c r="E17" s="1378">
        <f t="shared" si="7"/>
        <v>1156000</v>
      </c>
      <c r="F17" s="1378">
        <f t="shared" si="7"/>
        <v>1156000</v>
      </c>
      <c r="G17" s="1379">
        <f t="shared" si="7"/>
        <v>1156000</v>
      </c>
      <c r="H17" s="1377">
        <f t="shared" si="8"/>
        <v>136900</v>
      </c>
      <c r="I17" s="1378">
        <f t="shared" si="9"/>
        <v>1156000</v>
      </c>
      <c r="J17" s="1378">
        <f t="shared" si="9"/>
        <v>1156000</v>
      </c>
      <c r="K17" s="1378">
        <f t="shared" si="9"/>
        <v>1156000</v>
      </c>
      <c r="L17" s="1378">
        <f t="shared" si="9"/>
        <v>1156000</v>
      </c>
      <c r="M17" s="1379">
        <f t="shared" si="9"/>
        <v>1156000</v>
      </c>
      <c r="N17" s="1377">
        <f t="shared" si="10"/>
        <v>96771.806566877567</v>
      </c>
      <c r="O17" s="1378">
        <f t="shared" si="11"/>
        <v>1156000</v>
      </c>
      <c r="P17" s="1378">
        <f t="shared" si="11"/>
        <v>1156000</v>
      </c>
      <c r="Q17" s="1378">
        <f t="shared" si="11"/>
        <v>1156000</v>
      </c>
      <c r="R17" s="1378">
        <f t="shared" si="11"/>
        <v>1156000</v>
      </c>
      <c r="S17" s="1379">
        <f t="shared" si="11"/>
        <v>1156000</v>
      </c>
    </row>
    <row r="18" spans="1:19" s="1284" customFormat="1" ht="15" x14ac:dyDescent="0.25">
      <c r="A18" s="1299">
        <v>2016</v>
      </c>
      <c r="B18" s="1380">
        <f t="shared" si="6"/>
        <v>156000</v>
      </c>
      <c r="C18" s="1381">
        <f t="shared" si="7"/>
        <v>1156000</v>
      </c>
      <c r="D18" s="1381">
        <f t="shared" si="7"/>
        <v>1156000</v>
      </c>
      <c r="E18" s="1381">
        <f t="shared" si="7"/>
        <v>1156000</v>
      </c>
      <c r="F18" s="1381">
        <f t="shared" si="7"/>
        <v>1156000</v>
      </c>
      <c r="G18" s="1382">
        <f t="shared" si="7"/>
        <v>1156000</v>
      </c>
      <c r="H18" s="1380">
        <f t="shared" si="8"/>
        <v>136900</v>
      </c>
      <c r="I18" s="1381">
        <f t="shared" si="9"/>
        <v>1156000</v>
      </c>
      <c r="J18" s="1381">
        <f t="shared" si="9"/>
        <v>1156000</v>
      </c>
      <c r="K18" s="1381">
        <f t="shared" si="9"/>
        <v>1156000</v>
      </c>
      <c r="L18" s="1381">
        <f t="shared" si="9"/>
        <v>1156000</v>
      </c>
      <c r="M18" s="1382">
        <f t="shared" si="9"/>
        <v>1156000</v>
      </c>
      <c r="N18" s="1380">
        <f t="shared" si="10"/>
        <v>96771.806566877567</v>
      </c>
      <c r="O18" s="1381">
        <f t="shared" si="11"/>
        <v>1156000</v>
      </c>
      <c r="P18" s="1381">
        <f t="shared" si="11"/>
        <v>1156000</v>
      </c>
      <c r="Q18" s="1381">
        <f t="shared" si="11"/>
        <v>1156000</v>
      </c>
      <c r="R18" s="1381">
        <f t="shared" si="11"/>
        <v>1156000</v>
      </c>
      <c r="S18" s="1382">
        <f t="shared" si="11"/>
        <v>1156000</v>
      </c>
    </row>
    <row r="19" spans="1:19" s="1284" customFormat="1" ht="15" x14ac:dyDescent="0.25">
      <c r="A19" s="1299">
        <v>2017</v>
      </c>
      <c r="B19" s="1372">
        <f t="shared" si="6"/>
        <v>156000</v>
      </c>
      <c r="C19" s="1375">
        <f t="shared" ref="C19:G28" si="12">$B19+INDEX(COST_Cls1,MATCH($A19,Years,0),MATCH(C$6,TECHOPTS_Cls1,0))</f>
        <v>1156000</v>
      </c>
      <c r="D19" s="1375">
        <f t="shared" si="12"/>
        <v>1156000</v>
      </c>
      <c r="E19" s="1375">
        <f t="shared" si="12"/>
        <v>1156000</v>
      </c>
      <c r="F19" s="1375">
        <f t="shared" si="12"/>
        <v>1156000</v>
      </c>
      <c r="G19" s="1376">
        <f t="shared" si="12"/>
        <v>1156000</v>
      </c>
      <c r="H19" s="1372">
        <f t="shared" si="8"/>
        <v>136900</v>
      </c>
      <c r="I19" s="1375">
        <f t="shared" ref="I19:M28" si="13">$B19+INDEX(COST_Cls2,MATCH($A19,Years,0),MATCH(I$6,TECHOPTS_Cls1,0))</f>
        <v>1156000</v>
      </c>
      <c r="J19" s="1375">
        <f t="shared" si="13"/>
        <v>1156000</v>
      </c>
      <c r="K19" s="1375">
        <f t="shared" si="13"/>
        <v>1156000</v>
      </c>
      <c r="L19" s="1375">
        <f t="shared" si="13"/>
        <v>1156000</v>
      </c>
      <c r="M19" s="1376">
        <f t="shared" si="13"/>
        <v>1156000</v>
      </c>
      <c r="N19" s="1372">
        <f t="shared" si="10"/>
        <v>96771.806566877567</v>
      </c>
      <c r="O19" s="1375">
        <f t="shared" ref="O19:S28" si="14">$B19+INDEX(COST_Cls3,MATCH($A19,Years,0),MATCH(O$6,TECHOPTS_Cls1,0))</f>
        <v>1156000</v>
      </c>
      <c r="P19" s="1375">
        <f t="shared" si="14"/>
        <v>1156000</v>
      </c>
      <c r="Q19" s="1375">
        <f t="shared" si="14"/>
        <v>1156000</v>
      </c>
      <c r="R19" s="1375">
        <f t="shared" si="14"/>
        <v>1156000</v>
      </c>
      <c r="S19" s="1376">
        <f t="shared" si="14"/>
        <v>1156000</v>
      </c>
    </row>
    <row r="20" spans="1:19" s="1284" customFormat="1" ht="15" x14ac:dyDescent="0.25">
      <c r="A20" s="1299">
        <v>2018</v>
      </c>
      <c r="B20" s="1372">
        <f t="shared" si="6"/>
        <v>156000</v>
      </c>
      <c r="C20" s="1375">
        <f t="shared" si="12"/>
        <v>1156000</v>
      </c>
      <c r="D20" s="1375">
        <f t="shared" si="12"/>
        <v>1156000</v>
      </c>
      <c r="E20" s="1375">
        <f t="shared" si="12"/>
        <v>1156000</v>
      </c>
      <c r="F20" s="1375">
        <f t="shared" si="12"/>
        <v>1156000</v>
      </c>
      <c r="G20" s="1376">
        <f t="shared" si="12"/>
        <v>1156000</v>
      </c>
      <c r="H20" s="1372">
        <f t="shared" si="8"/>
        <v>136900</v>
      </c>
      <c r="I20" s="1375">
        <f t="shared" si="13"/>
        <v>1156000</v>
      </c>
      <c r="J20" s="1375">
        <f t="shared" si="13"/>
        <v>1156000</v>
      </c>
      <c r="K20" s="1375">
        <f t="shared" si="13"/>
        <v>1156000</v>
      </c>
      <c r="L20" s="1375">
        <f t="shared" si="13"/>
        <v>1156000</v>
      </c>
      <c r="M20" s="1376">
        <f t="shared" si="13"/>
        <v>1156000</v>
      </c>
      <c r="N20" s="1372">
        <f t="shared" si="10"/>
        <v>96771.806566877567</v>
      </c>
      <c r="O20" s="1375">
        <f t="shared" si="14"/>
        <v>1156000</v>
      </c>
      <c r="P20" s="1375">
        <f t="shared" si="14"/>
        <v>1156000</v>
      </c>
      <c r="Q20" s="1375">
        <f t="shared" si="14"/>
        <v>1156000</v>
      </c>
      <c r="R20" s="1375">
        <f t="shared" si="14"/>
        <v>1156000</v>
      </c>
      <c r="S20" s="1376">
        <f t="shared" si="14"/>
        <v>1156000</v>
      </c>
    </row>
    <row r="21" spans="1:19" s="1284" customFormat="1" ht="15" x14ac:dyDescent="0.25">
      <c r="A21" s="1299">
        <v>2019</v>
      </c>
      <c r="B21" s="1372">
        <f t="shared" si="6"/>
        <v>156000</v>
      </c>
      <c r="C21" s="1375">
        <f t="shared" si="12"/>
        <v>1156000</v>
      </c>
      <c r="D21" s="1375">
        <f t="shared" si="12"/>
        <v>1156000</v>
      </c>
      <c r="E21" s="1375">
        <f t="shared" si="12"/>
        <v>1156000</v>
      </c>
      <c r="F21" s="1375">
        <f t="shared" si="12"/>
        <v>1156000</v>
      </c>
      <c r="G21" s="1376">
        <f t="shared" si="12"/>
        <v>1156000</v>
      </c>
      <c r="H21" s="1372">
        <f t="shared" si="8"/>
        <v>136900</v>
      </c>
      <c r="I21" s="1375">
        <f t="shared" si="13"/>
        <v>1156000</v>
      </c>
      <c r="J21" s="1375">
        <f t="shared" si="13"/>
        <v>1156000</v>
      </c>
      <c r="K21" s="1375">
        <f t="shared" si="13"/>
        <v>1156000</v>
      </c>
      <c r="L21" s="1375">
        <f t="shared" si="13"/>
        <v>1156000</v>
      </c>
      <c r="M21" s="1376">
        <f t="shared" si="13"/>
        <v>1156000</v>
      </c>
      <c r="N21" s="1372">
        <f t="shared" si="10"/>
        <v>96771.806566877567</v>
      </c>
      <c r="O21" s="1375">
        <f t="shared" si="14"/>
        <v>1156000</v>
      </c>
      <c r="P21" s="1375">
        <f t="shared" si="14"/>
        <v>1156000</v>
      </c>
      <c r="Q21" s="1375">
        <f t="shared" si="14"/>
        <v>1156000</v>
      </c>
      <c r="R21" s="1375">
        <f t="shared" si="14"/>
        <v>1156000</v>
      </c>
      <c r="S21" s="1376">
        <f t="shared" si="14"/>
        <v>1156000</v>
      </c>
    </row>
    <row r="22" spans="1:19" s="1284" customFormat="1" ht="15" x14ac:dyDescent="0.25">
      <c r="A22" s="1305">
        <v>2020</v>
      </c>
      <c r="B22" s="1377">
        <f t="shared" si="6"/>
        <v>156000</v>
      </c>
      <c r="C22" s="1378">
        <f t="shared" si="12"/>
        <v>1156000</v>
      </c>
      <c r="D22" s="1378">
        <f t="shared" si="12"/>
        <v>1156000</v>
      </c>
      <c r="E22" s="1378">
        <f t="shared" si="12"/>
        <v>1156000</v>
      </c>
      <c r="F22" s="1378">
        <f t="shared" si="12"/>
        <v>1156000</v>
      </c>
      <c r="G22" s="1379">
        <f t="shared" si="12"/>
        <v>1156000</v>
      </c>
      <c r="H22" s="1377">
        <f t="shared" si="8"/>
        <v>136900</v>
      </c>
      <c r="I22" s="1378">
        <f t="shared" si="13"/>
        <v>1156000</v>
      </c>
      <c r="J22" s="1378">
        <f t="shared" si="13"/>
        <v>1156000</v>
      </c>
      <c r="K22" s="1378">
        <f t="shared" si="13"/>
        <v>1156000</v>
      </c>
      <c r="L22" s="1378">
        <f t="shared" si="13"/>
        <v>1156000</v>
      </c>
      <c r="M22" s="1379">
        <f t="shared" si="13"/>
        <v>1156000</v>
      </c>
      <c r="N22" s="1377">
        <f t="shared" si="10"/>
        <v>96771.806566877567</v>
      </c>
      <c r="O22" s="1378">
        <f t="shared" si="14"/>
        <v>1156000</v>
      </c>
      <c r="P22" s="1378">
        <f t="shared" si="14"/>
        <v>1156000</v>
      </c>
      <c r="Q22" s="1378">
        <f t="shared" si="14"/>
        <v>1156000</v>
      </c>
      <c r="R22" s="1378">
        <f t="shared" si="14"/>
        <v>1156000</v>
      </c>
      <c r="S22" s="1379">
        <f t="shared" si="14"/>
        <v>1156000</v>
      </c>
    </row>
    <row r="23" spans="1:19" s="1284" customFormat="1" ht="15" x14ac:dyDescent="0.25">
      <c r="A23" s="1299">
        <v>2021</v>
      </c>
      <c r="B23" s="1380">
        <f t="shared" si="6"/>
        <v>156551.27371701796</v>
      </c>
      <c r="C23" s="1381">
        <f t="shared" si="12"/>
        <v>157281.63690162453</v>
      </c>
      <c r="D23" s="1381">
        <f t="shared" si="12"/>
        <v>159257.02327124705</v>
      </c>
      <c r="E23" s="1381">
        <f t="shared" si="12"/>
        <v>169111.19705339478</v>
      </c>
      <c r="F23" s="1381">
        <f t="shared" si="12"/>
        <v>524890.48503306461</v>
      </c>
      <c r="G23" s="1382">
        <f t="shared" si="12"/>
        <v>346739.15641011362</v>
      </c>
      <c r="H23" s="1380">
        <f t="shared" si="8"/>
        <v>137205.78935754453</v>
      </c>
      <c r="I23" s="1381">
        <f t="shared" si="13"/>
        <v>157671.86453202809</v>
      </c>
      <c r="J23" s="1381">
        <f t="shared" si="13"/>
        <v>159197.43402067892</v>
      </c>
      <c r="K23" s="1381">
        <f t="shared" si="13"/>
        <v>354398.58378781762</v>
      </c>
      <c r="L23" s="1381">
        <f t="shared" si="13"/>
        <v>512525.04439293314</v>
      </c>
      <c r="M23" s="1382">
        <f t="shared" si="13"/>
        <v>323890.07515325036</v>
      </c>
      <c r="N23" s="1380">
        <f t="shared" si="10"/>
        <v>97040.03007304229</v>
      </c>
      <c r="O23" s="1381">
        <f t="shared" si="14"/>
        <v>157391.73898790206</v>
      </c>
      <c r="P23" s="1381">
        <f t="shared" si="14"/>
        <v>158217.75313424726</v>
      </c>
      <c r="Q23" s="1381">
        <f t="shared" si="14"/>
        <v>169661.00359474536</v>
      </c>
      <c r="R23" s="1381">
        <f t="shared" si="14"/>
        <v>300716.07223672769</v>
      </c>
      <c r="S23" s="1382">
        <f t="shared" si="14"/>
        <v>411502.37118237745</v>
      </c>
    </row>
    <row r="24" spans="1:19" s="1284" customFormat="1" ht="15" x14ac:dyDescent="0.25">
      <c r="A24" s="1299">
        <v>2022</v>
      </c>
      <c r="B24" s="1372">
        <f t="shared" si="6"/>
        <v>157102.54743403592</v>
      </c>
      <c r="C24" s="1375">
        <f t="shared" si="12"/>
        <v>158563.27380324906</v>
      </c>
      <c r="D24" s="1375">
        <f t="shared" si="12"/>
        <v>160234.74247474287</v>
      </c>
      <c r="E24" s="1375">
        <f t="shared" si="12"/>
        <v>169918.14082797192</v>
      </c>
      <c r="F24" s="1375">
        <f t="shared" si="12"/>
        <v>468959.33651074371</v>
      </c>
      <c r="G24" s="1376">
        <f t="shared" si="12"/>
        <v>321515.26817192207</v>
      </c>
      <c r="H24" s="1372">
        <f t="shared" si="8"/>
        <v>137511.57871508907</v>
      </c>
      <c r="I24" s="1375">
        <f t="shared" si="13"/>
        <v>159343.72906405616</v>
      </c>
      <c r="J24" s="1375">
        <f t="shared" si="13"/>
        <v>160623.60302657503</v>
      </c>
      <c r="K24" s="1375">
        <f t="shared" si="13"/>
        <v>323185.10051895544</v>
      </c>
      <c r="L24" s="1375">
        <f t="shared" si="13"/>
        <v>455203.21410235058</v>
      </c>
      <c r="M24" s="1376">
        <f t="shared" si="13"/>
        <v>301404.95513371163</v>
      </c>
      <c r="N24" s="1372">
        <f t="shared" si="10"/>
        <v>97308.253579207012</v>
      </c>
      <c r="O24" s="1375">
        <f t="shared" si="14"/>
        <v>158783.4779758041</v>
      </c>
      <c r="P24" s="1375">
        <f t="shared" si="14"/>
        <v>159463.09880321226</v>
      </c>
      <c r="Q24" s="1375">
        <f t="shared" si="14"/>
        <v>169573.87651341141</v>
      </c>
      <c r="R24" s="1375">
        <f t="shared" si="14"/>
        <v>279458.79085242166</v>
      </c>
      <c r="S24" s="1376">
        <f t="shared" si="14"/>
        <v>372240.60714311176</v>
      </c>
    </row>
    <row r="25" spans="1:19" s="1284" customFormat="1" ht="15" x14ac:dyDescent="0.25">
      <c r="A25" s="1299">
        <v>2023</v>
      </c>
      <c r="B25" s="1372">
        <f t="shared" si="6"/>
        <v>157653.82115105388</v>
      </c>
      <c r="C25" s="1375">
        <f t="shared" si="12"/>
        <v>159844.91070487359</v>
      </c>
      <c r="D25" s="1375">
        <f t="shared" si="12"/>
        <v>161212.4616782387</v>
      </c>
      <c r="E25" s="1375">
        <f t="shared" si="12"/>
        <v>170725.08460254906</v>
      </c>
      <c r="F25" s="1375">
        <f t="shared" si="12"/>
        <v>413028.18798842281</v>
      </c>
      <c r="G25" s="1376">
        <f t="shared" si="12"/>
        <v>296291.37993373052</v>
      </c>
      <c r="H25" s="1372">
        <f t="shared" si="8"/>
        <v>137817.3680726336</v>
      </c>
      <c r="I25" s="1375">
        <f t="shared" si="13"/>
        <v>161015.59359608422</v>
      </c>
      <c r="J25" s="1375">
        <f t="shared" si="13"/>
        <v>162049.77203247114</v>
      </c>
      <c r="K25" s="1375">
        <f t="shared" si="13"/>
        <v>291971.6172500932</v>
      </c>
      <c r="L25" s="1375">
        <f t="shared" si="13"/>
        <v>397881.38381176803</v>
      </c>
      <c r="M25" s="1376">
        <f t="shared" si="13"/>
        <v>278919.83511417289</v>
      </c>
      <c r="N25" s="1372">
        <f t="shared" si="10"/>
        <v>97576.477085371735</v>
      </c>
      <c r="O25" s="1375">
        <f t="shared" si="14"/>
        <v>160175.21696370613</v>
      </c>
      <c r="P25" s="1375">
        <f t="shared" si="14"/>
        <v>160708.44447217725</v>
      </c>
      <c r="Q25" s="1375">
        <f t="shared" si="14"/>
        <v>169486.74943207746</v>
      </c>
      <c r="R25" s="1375">
        <f t="shared" si="14"/>
        <v>258201.50946811558</v>
      </c>
      <c r="S25" s="1376">
        <f t="shared" si="14"/>
        <v>332978.84310384607</v>
      </c>
    </row>
    <row r="26" spans="1:19" s="1284" customFormat="1" ht="15" x14ac:dyDescent="0.25">
      <c r="A26" s="1299">
        <v>2024</v>
      </c>
      <c r="B26" s="1372">
        <f t="shared" si="6"/>
        <v>158205.09486807184</v>
      </c>
      <c r="C26" s="1375">
        <f t="shared" si="12"/>
        <v>161126.54760649812</v>
      </c>
      <c r="D26" s="1375">
        <f t="shared" si="12"/>
        <v>162190.18088173453</v>
      </c>
      <c r="E26" s="1375">
        <f t="shared" si="12"/>
        <v>171532.0283771262</v>
      </c>
      <c r="F26" s="1375">
        <f t="shared" si="12"/>
        <v>357097.03946610191</v>
      </c>
      <c r="G26" s="1376">
        <f t="shared" si="12"/>
        <v>271067.49169553898</v>
      </c>
      <c r="H26" s="1372">
        <f t="shared" si="8"/>
        <v>138123.15743017814</v>
      </c>
      <c r="I26" s="1375">
        <f t="shared" si="13"/>
        <v>162687.45812811231</v>
      </c>
      <c r="J26" s="1375">
        <f t="shared" si="13"/>
        <v>163475.94103836728</v>
      </c>
      <c r="K26" s="1375">
        <f t="shared" si="13"/>
        <v>260758.13398123096</v>
      </c>
      <c r="L26" s="1375">
        <f t="shared" si="13"/>
        <v>340559.55352118553</v>
      </c>
      <c r="M26" s="1376">
        <f t="shared" si="13"/>
        <v>256434.7150946341</v>
      </c>
      <c r="N26" s="1372">
        <f t="shared" si="10"/>
        <v>97844.700591536457</v>
      </c>
      <c r="O26" s="1375">
        <f t="shared" si="14"/>
        <v>161566.95595160819</v>
      </c>
      <c r="P26" s="1375">
        <f t="shared" si="14"/>
        <v>161953.79014114221</v>
      </c>
      <c r="Q26" s="1375">
        <f t="shared" si="14"/>
        <v>169399.62235074351</v>
      </c>
      <c r="R26" s="1375">
        <f t="shared" si="14"/>
        <v>236944.22808380949</v>
      </c>
      <c r="S26" s="1376">
        <f t="shared" si="14"/>
        <v>293717.07906458044</v>
      </c>
    </row>
    <row r="27" spans="1:19" s="1284" customFormat="1" ht="15" x14ac:dyDescent="0.25">
      <c r="A27" s="1305">
        <v>2025</v>
      </c>
      <c r="B27" s="1377">
        <f t="shared" si="6"/>
        <v>158756.3685850898</v>
      </c>
      <c r="C27" s="1378">
        <f t="shared" si="12"/>
        <v>162408.18450812271</v>
      </c>
      <c r="D27" s="1378">
        <f t="shared" si="12"/>
        <v>163167.90008523039</v>
      </c>
      <c r="E27" s="1378">
        <f t="shared" si="12"/>
        <v>172338.97215170335</v>
      </c>
      <c r="F27" s="1378">
        <f t="shared" si="12"/>
        <v>301165.89094378095</v>
      </c>
      <c r="G27" s="1379">
        <f t="shared" si="12"/>
        <v>245843.60345734755</v>
      </c>
      <c r="H27" s="1377">
        <f t="shared" si="8"/>
        <v>138428.94678772261</v>
      </c>
      <c r="I27" s="1378">
        <f t="shared" si="13"/>
        <v>164359.3226601404</v>
      </c>
      <c r="J27" s="1378">
        <f t="shared" si="13"/>
        <v>164902.11004426348</v>
      </c>
      <c r="K27" s="1378">
        <f t="shared" si="13"/>
        <v>229544.65071236875</v>
      </c>
      <c r="L27" s="1378">
        <f t="shared" si="13"/>
        <v>283237.72323060303</v>
      </c>
      <c r="M27" s="1379">
        <f t="shared" si="13"/>
        <v>233949.59507509533</v>
      </c>
      <c r="N27" s="1377">
        <f t="shared" si="10"/>
        <v>98112.924097701165</v>
      </c>
      <c r="O27" s="1378">
        <f t="shared" si="14"/>
        <v>162958.69493951026</v>
      </c>
      <c r="P27" s="1378">
        <f t="shared" si="14"/>
        <v>163199.1358101072</v>
      </c>
      <c r="Q27" s="1378">
        <f t="shared" si="14"/>
        <v>169312.49526940958</v>
      </c>
      <c r="R27" s="1378">
        <f t="shared" si="14"/>
        <v>215686.9466995034</v>
      </c>
      <c r="S27" s="1379">
        <f t="shared" si="14"/>
        <v>254455.31502531481</v>
      </c>
    </row>
    <row r="28" spans="1:19" s="1284" customFormat="1" ht="15" x14ac:dyDescent="0.25">
      <c r="A28" s="1299">
        <v>2026</v>
      </c>
      <c r="B28" s="1380">
        <f t="shared" si="6"/>
        <v>159487.32933471107</v>
      </c>
      <c r="C28" s="1381">
        <f t="shared" si="12"/>
        <v>163236.48492375619</v>
      </c>
      <c r="D28" s="1381">
        <f t="shared" si="12"/>
        <v>163910.85967252287</v>
      </c>
      <c r="E28" s="1381">
        <f t="shared" si="12"/>
        <v>172686.61349739414</v>
      </c>
      <c r="F28" s="1381">
        <f t="shared" si="12"/>
        <v>287877.09232421464</v>
      </c>
      <c r="G28" s="1382">
        <f t="shared" si="12"/>
        <v>235207.41417192924</v>
      </c>
      <c r="H28" s="1380">
        <f t="shared" si="8"/>
        <v>139088.32283276951</v>
      </c>
      <c r="I28" s="1381">
        <f t="shared" si="13"/>
        <v>165316.84771078819</v>
      </c>
      <c r="J28" s="1381">
        <f t="shared" si="13"/>
        <v>165798.36192940891</v>
      </c>
      <c r="K28" s="1381">
        <f t="shared" si="13"/>
        <v>222926.58019506134</v>
      </c>
      <c r="L28" s="1381">
        <f t="shared" si="13"/>
        <v>270542.60505442962</v>
      </c>
      <c r="M28" s="1382">
        <f t="shared" si="13"/>
        <v>224422.13503764558</v>
      </c>
      <c r="N28" s="1380">
        <f t="shared" si="10"/>
        <v>98535.258281973045</v>
      </c>
      <c r="O28" s="1381">
        <f t="shared" si="14"/>
        <v>163861.14456831603</v>
      </c>
      <c r="P28" s="1381">
        <f t="shared" si="14"/>
        <v>164066.33797761245</v>
      </c>
      <c r="Q28" s="1381">
        <f t="shared" si="14"/>
        <v>169892.68067002873</v>
      </c>
      <c r="R28" s="1381">
        <f t="shared" si="14"/>
        <v>211499.05308907098</v>
      </c>
      <c r="S28" s="1382">
        <f t="shared" si="14"/>
        <v>245570.79819267907</v>
      </c>
    </row>
    <row r="29" spans="1:19" s="1284" customFormat="1" ht="15" x14ac:dyDescent="0.25">
      <c r="A29" s="1299">
        <v>2027</v>
      </c>
      <c r="B29" s="1372">
        <f t="shared" si="6"/>
        <v>160218.29008433232</v>
      </c>
      <c r="C29" s="1375">
        <f t="shared" ref="C29:G38" si="15">$B29+INDEX(COST_Cls1,MATCH($A29,Years,0),MATCH(C$6,TECHOPTS_Cls1,0))</f>
        <v>164064.78533938964</v>
      </c>
      <c r="D29" s="1375">
        <f t="shared" si="15"/>
        <v>164653.81925981533</v>
      </c>
      <c r="E29" s="1375">
        <f t="shared" si="15"/>
        <v>173034.2548430849</v>
      </c>
      <c r="F29" s="1375">
        <f t="shared" si="15"/>
        <v>274588.29370464827</v>
      </c>
      <c r="G29" s="1376">
        <f t="shared" si="15"/>
        <v>224571.2248865109</v>
      </c>
      <c r="H29" s="1372">
        <f t="shared" si="8"/>
        <v>139747.69887781641</v>
      </c>
      <c r="I29" s="1375">
        <f t="shared" ref="I29:M38" si="16">$B29+INDEX(COST_Cls2,MATCH($A29,Years,0),MATCH(I$6,TECHOPTS_Cls1,0))</f>
        <v>166274.37276143598</v>
      </c>
      <c r="J29" s="1375">
        <f t="shared" si="16"/>
        <v>166694.61381455435</v>
      </c>
      <c r="K29" s="1375">
        <f t="shared" si="16"/>
        <v>216308.50967775387</v>
      </c>
      <c r="L29" s="1375">
        <f t="shared" si="16"/>
        <v>257847.48687825614</v>
      </c>
      <c r="M29" s="1376">
        <f t="shared" si="16"/>
        <v>214894.67500019583</v>
      </c>
      <c r="N29" s="1372">
        <f t="shared" si="10"/>
        <v>98957.592466244925</v>
      </c>
      <c r="O29" s="1375">
        <f t="shared" ref="O29:S38" si="17">$B29+INDEX(COST_Cls3,MATCH($A29,Years,0),MATCH(O$6,TECHOPTS_Cls1,0))</f>
        <v>164763.59419712174</v>
      </c>
      <c r="P29" s="1375">
        <f t="shared" si="17"/>
        <v>164933.54014511764</v>
      </c>
      <c r="Q29" s="1375">
        <f t="shared" si="17"/>
        <v>170472.86607064787</v>
      </c>
      <c r="R29" s="1375">
        <f t="shared" si="17"/>
        <v>207311.15947863855</v>
      </c>
      <c r="S29" s="1376">
        <f t="shared" si="17"/>
        <v>236686.28136004327</v>
      </c>
    </row>
    <row r="30" spans="1:19" s="1284" customFormat="1" ht="15" x14ac:dyDescent="0.25">
      <c r="A30" s="1299">
        <v>2028</v>
      </c>
      <c r="B30" s="1372">
        <f t="shared" si="6"/>
        <v>160949.25083395356</v>
      </c>
      <c r="C30" s="1375">
        <f t="shared" si="15"/>
        <v>164893.08575502309</v>
      </c>
      <c r="D30" s="1375">
        <f t="shared" si="15"/>
        <v>165396.77884710778</v>
      </c>
      <c r="E30" s="1375">
        <f t="shared" si="15"/>
        <v>173381.89618877566</v>
      </c>
      <c r="F30" s="1375">
        <f t="shared" si="15"/>
        <v>261299.4950850819</v>
      </c>
      <c r="G30" s="1376">
        <f t="shared" si="15"/>
        <v>213935.03560109256</v>
      </c>
      <c r="H30" s="1372">
        <f t="shared" si="8"/>
        <v>140407.07492286331</v>
      </c>
      <c r="I30" s="1375">
        <f t="shared" si="16"/>
        <v>167231.89781208377</v>
      </c>
      <c r="J30" s="1375">
        <f t="shared" si="16"/>
        <v>167590.86569969979</v>
      </c>
      <c r="K30" s="1375">
        <f t="shared" si="16"/>
        <v>209690.4391604464</v>
      </c>
      <c r="L30" s="1375">
        <f t="shared" si="16"/>
        <v>245152.36870208266</v>
      </c>
      <c r="M30" s="1376">
        <f t="shared" si="16"/>
        <v>205367.21496274607</v>
      </c>
      <c r="N30" s="1372">
        <f t="shared" si="10"/>
        <v>99379.926650516805</v>
      </c>
      <c r="O30" s="1375">
        <f t="shared" si="17"/>
        <v>165666.04382592748</v>
      </c>
      <c r="P30" s="1375">
        <f t="shared" si="17"/>
        <v>165800.74231262284</v>
      </c>
      <c r="Q30" s="1375">
        <f t="shared" si="17"/>
        <v>171053.05147126701</v>
      </c>
      <c r="R30" s="1375">
        <f t="shared" si="17"/>
        <v>203123.2658682061</v>
      </c>
      <c r="S30" s="1376">
        <f t="shared" si="17"/>
        <v>227801.7645274075</v>
      </c>
    </row>
    <row r="31" spans="1:19" s="1284" customFormat="1" ht="15" x14ac:dyDescent="0.25">
      <c r="A31" s="1299">
        <v>2029</v>
      </c>
      <c r="B31" s="1372">
        <f t="shared" si="6"/>
        <v>161680.2115835748</v>
      </c>
      <c r="C31" s="1375">
        <f t="shared" si="15"/>
        <v>165721.38617065654</v>
      </c>
      <c r="D31" s="1375">
        <f t="shared" si="15"/>
        <v>166139.73843440023</v>
      </c>
      <c r="E31" s="1375">
        <f t="shared" si="15"/>
        <v>173729.53753446642</v>
      </c>
      <c r="F31" s="1375">
        <f t="shared" si="15"/>
        <v>248010.69646551553</v>
      </c>
      <c r="G31" s="1376">
        <f t="shared" si="15"/>
        <v>203298.84631567422</v>
      </c>
      <c r="H31" s="1372">
        <f t="shared" si="8"/>
        <v>141066.45096791023</v>
      </c>
      <c r="I31" s="1375">
        <f t="shared" si="16"/>
        <v>168189.42286273153</v>
      </c>
      <c r="J31" s="1375">
        <f t="shared" si="16"/>
        <v>168487.1175848452</v>
      </c>
      <c r="K31" s="1375">
        <f t="shared" si="16"/>
        <v>203072.36864313897</v>
      </c>
      <c r="L31" s="1375">
        <f t="shared" si="16"/>
        <v>232457.25052590921</v>
      </c>
      <c r="M31" s="1376">
        <f t="shared" si="16"/>
        <v>195839.75492529629</v>
      </c>
      <c r="N31" s="1372">
        <f t="shared" si="10"/>
        <v>99802.260834788685</v>
      </c>
      <c r="O31" s="1375">
        <f t="shared" si="17"/>
        <v>166568.49345473322</v>
      </c>
      <c r="P31" s="1375">
        <f t="shared" si="17"/>
        <v>166667.94448012806</v>
      </c>
      <c r="Q31" s="1375">
        <f t="shared" si="17"/>
        <v>171633.23687188613</v>
      </c>
      <c r="R31" s="1375">
        <f t="shared" si="17"/>
        <v>198935.37225777365</v>
      </c>
      <c r="S31" s="1376">
        <f t="shared" si="17"/>
        <v>218917.24769477174</v>
      </c>
    </row>
    <row r="32" spans="1:19" s="1284" customFormat="1" ht="15" x14ac:dyDescent="0.25">
      <c r="A32" s="1305">
        <v>2030</v>
      </c>
      <c r="B32" s="1377">
        <f t="shared" si="6"/>
        <v>162352.82643157447</v>
      </c>
      <c r="C32" s="1378">
        <f t="shared" si="15"/>
        <v>166491.34068466845</v>
      </c>
      <c r="D32" s="1378">
        <f t="shared" si="15"/>
        <v>166824.35212007107</v>
      </c>
      <c r="E32" s="1378">
        <f t="shared" si="15"/>
        <v>174018.83297853565</v>
      </c>
      <c r="F32" s="1378">
        <f t="shared" si="15"/>
        <v>234663.5519443276</v>
      </c>
      <c r="G32" s="1379">
        <f t="shared" si="15"/>
        <v>192604.31112863435</v>
      </c>
      <c r="H32" s="1377">
        <f t="shared" si="8"/>
        <v>141725.82701295713</v>
      </c>
      <c r="I32" s="1378">
        <f t="shared" si="16"/>
        <v>169088.60201175776</v>
      </c>
      <c r="J32" s="1378">
        <f t="shared" si="16"/>
        <v>169325.0235683691</v>
      </c>
      <c r="K32" s="1378">
        <f t="shared" si="16"/>
        <v>196395.9522242099</v>
      </c>
      <c r="L32" s="1378">
        <f t="shared" si="16"/>
        <v>219703.78644811426</v>
      </c>
      <c r="M32" s="1379">
        <f t="shared" si="16"/>
        <v>186253.948986225</v>
      </c>
      <c r="N32" s="1377">
        <f t="shared" si="10"/>
        <v>100224.59501906054</v>
      </c>
      <c r="O32" s="1378">
        <f t="shared" si="17"/>
        <v>167412.5971819174</v>
      </c>
      <c r="P32" s="1378">
        <f t="shared" si="17"/>
        <v>167476.80074601172</v>
      </c>
      <c r="Q32" s="1378">
        <f t="shared" si="17"/>
        <v>172155.07637088373</v>
      </c>
      <c r="R32" s="1378">
        <f t="shared" si="17"/>
        <v>194689.13274571975</v>
      </c>
      <c r="S32" s="1379">
        <f t="shared" si="17"/>
        <v>209974.38496051435</v>
      </c>
    </row>
    <row r="33" spans="1:19" s="1284" customFormat="1" ht="15" x14ac:dyDescent="0.25">
      <c r="A33" s="1299">
        <v>2031</v>
      </c>
      <c r="B33" s="1380">
        <f t="shared" si="6"/>
        <v>162352.82643157447</v>
      </c>
      <c r="C33" s="1381">
        <f t="shared" si="15"/>
        <v>166491.34068466845</v>
      </c>
      <c r="D33" s="1381">
        <f t="shared" si="15"/>
        <v>166824.35212007107</v>
      </c>
      <c r="E33" s="1381">
        <f t="shared" si="15"/>
        <v>174801.08922676268</v>
      </c>
      <c r="F33" s="1381">
        <f t="shared" si="15"/>
        <v>229161.50260848328</v>
      </c>
      <c r="G33" s="1382">
        <f t="shared" si="15"/>
        <v>189634.86166768993</v>
      </c>
      <c r="H33" s="1380">
        <f t="shared" si="8"/>
        <v>141725.82701295713</v>
      </c>
      <c r="I33" s="1381">
        <f t="shared" si="16"/>
        <v>169088.60201175776</v>
      </c>
      <c r="J33" s="1381">
        <f t="shared" si="16"/>
        <v>169325.0235683691</v>
      </c>
      <c r="K33" s="1381">
        <f t="shared" si="16"/>
        <v>193866.16327199488</v>
      </c>
      <c r="L33" s="1381">
        <f t="shared" si="16"/>
        <v>214357.33813847287</v>
      </c>
      <c r="M33" s="1382">
        <f t="shared" si="16"/>
        <v>184009.05176756598</v>
      </c>
      <c r="N33" s="1380">
        <f t="shared" si="10"/>
        <v>100224.59501906054</v>
      </c>
      <c r="O33" s="1381">
        <f t="shared" si="17"/>
        <v>167412.5971819174</v>
      </c>
      <c r="P33" s="1381">
        <f t="shared" si="17"/>
        <v>167476.80074601172</v>
      </c>
      <c r="Q33" s="1381">
        <f t="shared" si="17"/>
        <v>172429.22816456109</v>
      </c>
      <c r="R33" s="1381">
        <f t="shared" si="17"/>
        <v>192817.9663910442</v>
      </c>
      <c r="S33" s="1382">
        <f t="shared" si="17"/>
        <v>206050.63508893724</v>
      </c>
    </row>
    <row r="34" spans="1:19" s="1284" customFormat="1" ht="15" x14ac:dyDescent="0.25">
      <c r="A34" s="1299">
        <v>2032</v>
      </c>
      <c r="B34" s="1372">
        <f t="shared" si="6"/>
        <v>162352.82643157447</v>
      </c>
      <c r="C34" s="1375">
        <f t="shared" si="15"/>
        <v>166491.34068466845</v>
      </c>
      <c r="D34" s="1375">
        <f t="shared" si="15"/>
        <v>166824.35212007107</v>
      </c>
      <c r="E34" s="1375">
        <f t="shared" si="15"/>
        <v>175583.34547498971</v>
      </c>
      <c r="F34" s="1375">
        <f t="shared" si="15"/>
        <v>223659.45327263896</v>
      </c>
      <c r="G34" s="1376">
        <f t="shared" si="15"/>
        <v>186665.4122067455</v>
      </c>
      <c r="H34" s="1372">
        <f t="shared" si="8"/>
        <v>141725.82701295713</v>
      </c>
      <c r="I34" s="1375">
        <f t="shared" si="16"/>
        <v>169088.60201175776</v>
      </c>
      <c r="J34" s="1375">
        <f t="shared" si="16"/>
        <v>169325.0235683691</v>
      </c>
      <c r="K34" s="1375">
        <f t="shared" si="16"/>
        <v>191336.37431977986</v>
      </c>
      <c r="L34" s="1375">
        <f t="shared" si="16"/>
        <v>209010.88982883148</v>
      </c>
      <c r="M34" s="1376">
        <f t="shared" si="16"/>
        <v>181764.15454890695</v>
      </c>
      <c r="N34" s="1372">
        <f t="shared" si="10"/>
        <v>100224.59501906054</v>
      </c>
      <c r="O34" s="1375">
        <f t="shared" si="17"/>
        <v>167412.5971819174</v>
      </c>
      <c r="P34" s="1375">
        <f t="shared" si="17"/>
        <v>167476.80074601172</v>
      </c>
      <c r="Q34" s="1375">
        <f t="shared" si="17"/>
        <v>172703.37995823845</v>
      </c>
      <c r="R34" s="1375">
        <f t="shared" si="17"/>
        <v>190946.80003636866</v>
      </c>
      <c r="S34" s="1376">
        <f t="shared" si="17"/>
        <v>202126.88521736013</v>
      </c>
    </row>
    <row r="35" spans="1:19" s="1284" customFormat="1" ht="15" x14ac:dyDescent="0.25">
      <c r="A35" s="1299">
        <v>2033</v>
      </c>
      <c r="B35" s="1372">
        <f t="shared" si="6"/>
        <v>162352.82643157447</v>
      </c>
      <c r="C35" s="1375">
        <f t="shared" si="15"/>
        <v>166491.34068466845</v>
      </c>
      <c r="D35" s="1375">
        <f t="shared" si="15"/>
        <v>166824.35212007107</v>
      </c>
      <c r="E35" s="1375">
        <f t="shared" si="15"/>
        <v>176365.60172321674</v>
      </c>
      <c r="F35" s="1375">
        <f t="shared" si="15"/>
        <v>218157.40393679464</v>
      </c>
      <c r="G35" s="1376">
        <f t="shared" si="15"/>
        <v>183695.96274580108</v>
      </c>
      <c r="H35" s="1372">
        <f t="shared" si="8"/>
        <v>141725.82701295713</v>
      </c>
      <c r="I35" s="1375">
        <f t="shared" si="16"/>
        <v>169088.60201175776</v>
      </c>
      <c r="J35" s="1375">
        <f t="shared" si="16"/>
        <v>169325.0235683691</v>
      </c>
      <c r="K35" s="1375">
        <f t="shared" si="16"/>
        <v>188806.58536756484</v>
      </c>
      <c r="L35" s="1375">
        <f t="shared" si="16"/>
        <v>203664.44151919009</v>
      </c>
      <c r="M35" s="1376">
        <f t="shared" si="16"/>
        <v>179519.25733024793</v>
      </c>
      <c r="N35" s="1372">
        <f t="shared" si="10"/>
        <v>100224.59501906054</v>
      </c>
      <c r="O35" s="1375">
        <f t="shared" si="17"/>
        <v>167412.5971819174</v>
      </c>
      <c r="P35" s="1375">
        <f t="shared" si="17"/>
        <v>167476.80074601172</v>
      </c>
      <c r="Q35" s="1375">
        <f t="shared" si="17"/>
        <v>172977.53175191581</v>
      </c>
      <c r="R35" s="1375">
        <f t="shared" si="17"/>
        <v>189075.63368169311</v>
      </c>
      <c r="S35" s="1376">
        <f t="shared" si="17"/>
        <v>198203.13534578303</v>
      </c>
    </row>
    <row r="36" spans="1:19" s="1284" customFormat="1" ht="15" x14ac:dyDescent="0.25">
      <c r="A36" s="1299">
        <v>2034</v>
      </c>
      <c r="B36" s="1372">
        <f t="shared" si="6"/>
        <v>162352.82643157447</v>
      </c>
      <c r="C36" s="1375">
        <f t="shared" si="15"/>
        <v>166491.34068466845</v>
      </c>
      <c r="D36" s="1375">
        <f t="shared" si="15"/>
        <v>166824.35212007107</v>
      </c>
      <c r="E36" s="1375">
        <f t="shared" si="15"/>
        <v>177147.85797144377</v>
      </c>
      <c r="F36" s="1375">
        <f t="shared" si="15"/>
        <v>212655.35460095032</v>
      </c>
      <c r="G36" s="1376">
        <f t="shared" si="15"/>
        <v>180726.51328485666</v>
      </c>
      <c r="H36" s="1372">
        <f t="shared" si="8"/>
        <v>141725.82701295713</v>
      </c>
      <c r="I36" s="1375">
        <f t="shared" si="16"/>
        <v>169088.60201175776</v>
      </c>
      <c r="J36" s="1375">
        <f t="shared" si="16"/>
        <v>169325.0235683691</v>
      </c>
      <c r="K36" s="1375">
        <f t="shared" si="16"/>
        <v>186276.79641534982</v>
      </c>
      <c r="L36" s="1375">
        <f t="shared" si="16"/>
        <v>198317.9932095487</v>
      </c>
      <c r="M36" s="1376">
        <f t="shared" si="16"/>
        <v>177274.3601115889</v>
      </c>
      <c r="N36" s="1372">
        <f t="shared" si="10"/>
        <v>100224.59501906054</v>
      </c>
      <c r="O36" s="1375">
        <f t="shared" si="17"/>
        <v>167412.5971819174</v>
      </c>
      <c r="P36" s="1375">
        <f t="shared" si="17"/>
        <v>167476.80074601172</v>
      </c>
      <c r="Q36" s="1375">
        <f t="shared" si="17"/>
        <v>173251.68354559317</v>
      </c>
      <c r="R36" s="1375">
        <f t="shared" si="17"/>
        <v>187204.46732701757</v>
      </c>
      <c r="S36" s="1376">
        <f t="shared" si="17"/>
        <v>194279.38547420592</v>
      </c>
    </row>
    <row r="37" spans="1:19" s="1284" customFormat="1" ht="15" x14ac:dyDescent="0.25">
      <c r="A37" s="1305">
        <v>2035</v>
      </c>
      <c r="B37" s="1377">
        <f t="shared" si="6"/>
        <v>162352.82643157447</v>
      </c>
      <c r="C37" s="1378">
        <f t="shared" si="15"/>
        <v>166491.34068466845</v>
      </c>
      <c r="D37" s="1378">
        <f t="shared" si="15"/>
        <v>166824.35212007107</v>
      </c>
      <c r="E37" s="1378">
        <f t="shared" si="15"/>
        <v>177930.11421967082</v>
      </c>
      <c r="F37" s="1378">
        <f t="shared" si="15"/>
        <v>207153.305265106</v>
      </c>
      <c r="G37" s="1379">
        <f t="shared" si="15"/>
        <v>177757.06382391226</v>
      </c>
      <c r="H37" s="1377">
        <f t="shared" si="8"/>
        <v>141725.82701295713</v>
      </c>
      <c r="I37" s="1378">
        <f t="shared" si="16"/>
        <v>169088.60201175776</v>
      </c>
      <c r="J37" s="1378">
        <f t="shared" si="16"/>
        <v>169325.0235683691</v>
      </c>
      <c r="K37" s="1378">
        <f t="shared" si="16"/>
        <v>183747.00746313474</v>
      </c>
      <c r="L37" s="1378">
        <f t="shared" si="16"/>
        <v>192971.54489990731</v>
      </c>
      <c r="M37" s="1379">
        <f t="shared" si="16"/>
        <v>175029.46289292991</v>
      </c>
      <c r="N37" s="1377">
        <f t="shared" si="10"/>
        <v>100224.59501906054</v>
      </c>
      <c r="O37" s="1378">
        <f t="shared" si="17"/>
        <v>167412.5971819174</v>
      </c>
      <c r="P37" s="1378">
        <f t="shared" si="17"/>
        <v>167476.80074601172</v>
      </c>
      <c r="Q37" s="1378">
        <f t="shared" si="17"/>
        <v>173525.83533927053</v>
      </c>
      <c r="R37" s="1378">
        <f t="shared" si="17"/>
        <v>185333.300972342</v>
      </c>
      <c r="S37" s="1379">
        <f t="shared" si="17"/>
        <v>190355.63560262887</v>
      </c>
    </row>
    <row r="38" spans="1:19" s="1284" customFormat="1" ht="15" x14ac:dyDescent="0.25">
      <c r="A38" s="1299">
        <v>2036</v>
      </c>
      <c r="B38" s="1380">
        <f t="shared" si="6"/>
        <v>162352.82643157447</v>
      </c>
      <c r="C38" s="1381">
        <f t="shared" si="15"/>
        <v>166491.34068466845</v>
      </c>
      <c r="D38" s="1381">
        <f t="shared" si="15"/>
        <v>166824.35212007107</v>
      </c>
      <c r="E38" s="1381">
        <f t="shared" si="15"/>
        <v>178247.85593826344</v>
      </c>
      <c r="F38" s="1381">
        <f t="shared" si="15"/>
        <v>206616.23316901896</v>
      </c>
      <c r="G38" s="1382">
        <f t="shared" si="15"/>
        <v>177279.22293086632</v>
      </c>
      <c r="H38" s="1380">
        <f t="shared" si="8"/>
        <v>141725.82701295713</v>
      </c>
      <c r="I38" s="1381">
        <f t="shared" si="16"/>
        <v>169088.60201175776</v>
      </c>
      <c r="J38" s="1381">
        <f t="shared" si="16"/>
        <v>169325.0235683691</v>
      </c>
      <c r="K38" s="1381">
        <f t="shared" si="16"/>
        <v>183600.65330687331</v>
      </c>
      <c r="L38" s="1381">
        <f t="shared" si="16"/>
        <v>192392.57746154637</v>
      </c>
      <c r="M38" s="1382">
        <f t="shared" si="16"/>
        <v>174496.71898592098</v>
      </c>
      <c r="N38" s="1380">
        <f t="shared" si="10"/>
        <v>100224.59501906054</v>
      </c>
      <c r="O38" s="1381">
        <f t="shared" si="17"/>
        <v>167412.5971819174</v>
      </c>
      <c r="P38" s="1381">
        <f t="shared" si="17"/>
        <v>167476.80074601172</v>
      </c>
      <c r="Q38" s="1381">
        <f t="shared" si="17"/>
        <v>173825.24961645476</v>
      </c>
      <c r="R38" s="1381">
        <f t="shared" si="17"/>
        <v>185347.96838510555</v>
      </c>
      <c r="S38" s="1382">
        <f t="shared" si="17"/>
        <v>189995.52978553483</v>
      </c>
    </row>
    <row r="39" spans="1:19" s="1284" customFormat="1" ht="15" x14ac:dyDescent="0.25">
      <c r="A39" s="1299">
        <v>2037</v>
      </c>
      <c r="B39" s="1372">
        <f t="shared" si="6"/>
        <v>162352.82643157447</v>
      </c>
      <c r="C39" s="1375">
        <f t="shared" ref="C39:G52" si="18">$B39+INDEX(COST_Cls1,MATCH($A39,Years,0),MATCH(C$6,TECHOPTS_Cls1,0))</f>
        <v>166491.34068466845</v>
      </c>
      <c r="D39" s="1375">
        <f t="shared" si="18"/>
        <v>166824.35212007107</v>
      </c>
      <c r="E39" s="1375">
        <f t="shared" si="18"/>
        <v>178565.59765685606</v>
      </c>
      <c r="F39" s="1375">
        <f t="shared" si="18"/>
        <v>206079.16107293192</v>
      </c>
      <c r="G39" s="1376">
        <f t="shared" si="18"/>
        <v>176801.38203782038</v>
      </c>
      <c r="H39" s="1372">
        <f t="shared" si="8"/>
        <v>141725.82701295713</v>
      </c>
      <c r="I39" s="1375">
        <f t="shared" ref="I39:M52" si="19">$B39+INDEX(COST_Cls2,MATCH($A39,Years,0),MATCH(I$6,TECHOPTS_Cls1,0))</f>
        <v>169088.60201175776</v>
      </c>
      <c r="J39" s="1375">
        <f t="shared" si="19"/>
        <v>169325.0235683691</v>
      </c>
      <c r="K39" s="1375">
        <f t="shared" si="19"/>
        <v>183454.29915061189</v>
      </c>
      <c r="L39" s="1375">
        <f t="shared" si="19"/>
        <v>191813.61002318544</v>
      </c>
      <c r="M39" s="1376">
        <f t="shared" si="19"/>
        <v>173963.97507891204</v>
      </c>
      <c r="N39" s="1372">
        <f t="shared" si="10"/>
        <v>100224.59501906054</v>
      </c>
      <c r="O39" s="1375">
        <f t="shared" ref="O39:S52" si="20">$B39+INDEX(COST_Cls3,MATCH($A39,Years,0),MATCH(O$6,TECHOPTS_Cls1,0))</f>
        <v>167412.5971819174</v>
      </c>
      <c r="P39" s="1375">
        <f t="shared" si="20"/>
        <v>167476.80074601172</v>
      </c>
      <c r="Q39" s="1375">
        <f t="shared" si="20"/>
        <v>173825.24961645476</v>
      </c>
      <c r="R39" s="1375">
        <f t="shared" si="20"/>
        <v>185362.63579786909</v>
      </c>
      <c r="S39" s="1376">
        <f t="shared" si="20"/>
        <v>189635.42396844077</v>
      </c>
    </row>
    <row r="40" spans="1:19" s="1284" customFormat="1" ht="15" x14ac:dyDescent="0.25">
      <c r="A40" s="1299">
        <v>2038</v>
      </c>
      <c r="B40" s="1372">
        <f t="shared" si="6"/>
        <v>162352.82643157447</v>
      </c>
      <c r="C40" s="1375">
        <f t="shared" si="18"/>
        <v>166491.34068466845</v>
      </c>
      <c r="D40" s="1375">
        <f t="shared" si="18"/>
        <v>166824.35212007107</v>
      </c>
      <c r="E40" s="1375">
        <f t="shared" si="18"/>
        <v>178883.33937544868</v>
      </c>
      <c r="F40" s="1375">
        <f t="shared" si="18"/>
        <v>205542.08897684488</v>
      </c>
      <c r="G40" s="1376">
        <f t="shared" si="18"/>
        <v>176323.54114477444</v>
      </c>
      <c r="H40" s="1372">
        <f t="shared" si="8"/>
        <v>141725.82701295713</v>
      </c>
      <c r="I40" s="1375">
        <f t="shared" si="19"/>
        <v>169088.60201175776</v>
      </c>
      <c r="J40" s="1375">
        <f t="shared" si="19"/>
        <v>169325.0235683691</v>
      </c>
      <c r="K40" s="1375">
        <f t="shared" si="19"/>
        <v>183307.94499435046</v>
      </c>
      <c r="L40" s="1375">
        <f t="shared" si="19"/>
        <v>191234.6425848245</v>
      </c>
      <c r="M40" s="1376">
        <f t="shared" si="19"/>
        <v>173431.23117190311</v>
      </c>
      <c r="N40" s="1372">
        <f t="shared" si="10"/>
        <v>100224.59501906054</v>
      </c>
      <c r="O40" s="1375">
        <f t="shared" si="20"/>
        <v>167412.5971819174</v>
      </c>
      <c r="P40" s="1375">
        <f t="shared" si="20"/>
        <v>167476.80074601172</v>
      </c>
      <c r="Q40" s="1375">
        <f t="shared" si="20"/>
        <v>173825.24961645476</v>
      </c>
      <c r="R40" s="1375">
        <f t="shared" si="20"/>
        <v>185377.30321063264</v>
      </c>
      <c r="S40" s="1376">
        <f t="shared" si="20"/>
        <v>189275.3181513467</v>
      </c>
    </row>
    <row r="41" spans="1:19" s="1284" customFormat="1" ht="15" x14ac:dyDescent="0.25">
      <c r="A41" s="1299">
        <v>2039</v>
      </c>
      <c r="B41" s="1372">
        <f t="shared" si="6"/>
        <v>162352.82643157447</v>
      </c>
      <c r="C41" s="1375">
        <f t="shared" si="18"/>
        <v>166491.34068466845</v>
      </c>
      <c r="D41" s="1375">
        <f t="shared" si="18"/>
        <v>166824.35212007107</v>
      </c>
      <c r="E41" s="1375">
        <f t="shared" si="18"/>
        <v>179201.08109404129</v>
      </c>
      <c r="F41" s="1375">
        <f t="shared" si="18"/>
        <v>205005.01688075784</v>
      </c>
      <c r="G41" s="1376">
        <f t="shared" si="18"/>
        <v>175845.7002517285</v>
      </c>
      <c r="H41" s="1372">
        <f t="shared" si="8"/>
        <v>141725.82701295713</v>
      </c>
      <c r="I41" s="1375">
        <f t="shared" si="19"/>
        <v>169088.60201175776</v>
      </c>
      <c r="J41" s="1375">
        <f t="shared" si="19"/>
        <v>169325.0235683691</v>
      </c>
      <c r="K41" s="1375">
        <f t="shared" si="19"/>
        <v>183161.59083808903</v>
      </c>
      <c r="L41" s="1375">
        <f t="shared" si="19"/>
        <v>190655.67514646356</v>
      </c>
      <c r="M41" s="1376">
        <f t="shared" si="19"/>
        <v>172898.48726489418</v>
      </c>
      <c r="N41" s="1372">
        <f t="shared" si="10"/>
        <v>100224.59501906054</v>
      </c>
      <c r="O41" s="1375">
        <f t="shared" si="20"/>
        <v>167412.5971819174</v>
      </c>
      <c r="P41" s="1375">
        <f t="shared" si="20"/>
        <v>167476.80074601172</v>
      </c>
      <c r="Q41" s="1375">
        <f t="shared" si="20"/>
        <v>173825.24961645476</v>
      </c>
      <c r="R41" s="1375">
        <f t="shared" si="20"/>
        <v>185391.97062339619</v>
      </c>
      <c r="S41" s="1376">
        <f t="shared" si="20"/>
        <v>188915.21233425266</v>
      </c>
    </row>
    <row r="42" spans="1:19" s="1284" customFormat="1" ht="15" x14ac:dyDescent="0.25">
      <c r="A42" s="1305">
        <v>2040</v>
      </c>
      <c r="B42" s="1377">
        <f t="shared" si="6"/>
        <v>162352.82643157447</v>
      </c>
      <c r="C42" s="1378">
        <f t="shared" si="18"/>
        <v>166491.34068466845</v>
      </c>
      <c r="D42" s="1378">
        <f t="shared" si="18"/>
        <v>166824.35212007107</v>
      </c>
      <c r="E42" s="1378">
        <f t="shared" si="18"/>
        <v>179518.82281263391</v>
      </c>
      <c r="F42" s="1378">
        <f t="shared" si="18"/>
        <v>204467.94478467081</v>
      </c>
      <c r="G42" s="1379">
        <f t="shared" si="18"/>
        <v>175367.85935868256</v>
      </c>
      <c r="H42" s="1386">
        <f t="shared" si="8"/>
        <v>141725.82701295713</v>
      </c>
      <c r="I42" s="1387">
        <f t="shared" si="19"/>
        <v>169088.60201175776</v>
      </c>
      <c r="J42" s="1387">
        <f t="shared" si="19"/>
        <v>169325.0235683691</v>
      </c>
      <c r="K42" s="1387">
        <f t="shared" si="19"/>
        <v>183015.23668182761</v>
      </c>
      <c r="L42" s="1387">
        <f t="shared" si="19"/>
        <v>190076.70770810262</v>
      </c>
      <c r="M42" s="1388">
        <f t="shared" si="19"/>
        <v>172365.74335788525</v>
      </c>
      <c r="N42" s="1386">
        <f t="shared" si="10"/>
        <v>100224.59501906054</v>
      </c>
      <c r="O42" s="1387">
        <f t="shared" si="20"/>
        <v>167412.5971819174</v>
      </c>
      <c r="P42" s="1387">
        <f t="shared" si="20"/>
        <v>167476.80074601172</v>
      </c>
      <c r="Q42" s="1387">
        <f t="shared" si="20"/>
        <v>173825.24961645476</v>
      </c>
      <c r="R42" s="1387">
        <f t="shared" si="20"/>
        <v>185406.63803615974</v>
      </c>
      <c r="S42" s="1388">
        <f t="shared" si="20"/>
        <v>188555.10651715862</v>
      </c>
    </row>
    <row r="43" spans="1:19" s="1284" customFormat="1" ht="15" x14ac:dyDescent="0.25">
      <c r="A43" s="1299">
        <v>2041</v>
      </c>
      <c r="B43" s="1380">
        <f t="shared" si="6"/>
        <v>162352.82643157447</v>
      </c>
      <c r="C43" s="1381">
        <f t="shared" si="18"/>
        <v>166491.34068466845</v>
      </c>
      <c r="D43" s="1381">
        <f t="shared" si="18"/>
        <v>166824.35212007107</v>
      </c>
      <c r="E43" s="1381">
        <f t="shared" si="18"/>
        <v>179836.56453122653</v>
      </c>
      <c r="F43" s="1381">
        <f t="shared" si="18"/>
        <v>203930.87268858377</v>
      </c>
      <c r="G43" s="1382">
        <f t="shared" si="18"/>
        <v>174890.01846563662</v>
      </c>
      <c r="H43" s="1380">
        <f t="shared" si="8"/>
        <v>141725.82701295713</v>
      </c>
      <c r="I43" s="1381">
        <f t="shared" si="19"/>
        <v>169088.60201175776</v>
      </c>
      <c r="J43" s="1381">
        <f t="shared" si="19"/>
        <v>169325.0235683691</v>
      </c>
      <c r="K43" s="1381">
        <f t="shared" si="19"/>
        <v>182868.88252556618</v>
      </c>
      <c r="L43" s="1381">
        <f t="shared" si="19"/>
        <v>189497.74026974168</v>
      </c>
      <c r="M43" s="1382">
        <f t="shared" si="19"/>
        <v>171832.99945087632</v>
      </c>
      <c r="N43" s="1380">
        <f t="shared" si="10"/>
        <v>100224.59501906054</v>
      </c>
      <c r="O43" s="1381">
        <f t="shared" si="20"/>
        <v>167412.5971819174</v>
      </c>
      <c r="P43" s="1381">
        <f t="shared" si="20"/>
        <v>167476.80074601172</v>
      </c>
      <c r="Q43" s="1381">
        <f t="shared" si="20"/>
        <v>173825.24961645476</v>
      </c>
      <c r="R43" s="1381">
        <f t="shared" si="20"/>
        <v>185421.30544892329</v>
      </c>
      <c r="S43" s="1382">
        <f t="shared" si="20"/>
        <v>188195.00070006456</v>
      </c>
    </row>
    <row r="44" spans="1:19" s="1284" customFormat="1" ht="15" x14ac:dyDescent="0.25">
      <c r="A44" s="1299">
        <v>2042</v>
      </c>
      <c r="B44" s="1372">
        <f t="shared" si="6"/>
        <v>162352.82643157447</v>
      </c>
      <c r="C44" s="1375">
        <f t="shared" si="18"/>
        <v>166491.34068466845</v>
      </c>
      <c r="D44" s="1375">
        <f t="shared" si="18"/>
        <v>166824.35212007107</v>
      </c>
      <c r="E44" s="1375">
        <f t="shared" si="18"/>
        <v>180154.30624981914</v>
      </c>
      <c r="F44" s="1375">
        <f t="shared" si="18"/>
        <v>203393.80059249673</v>
      </c>
      <c r="G44" s="1376">
        <f t="shared" si="18"/>
        <v>174412.17757259068</v>
      </c>
      <c r="H44" s="1372">
        <f t="shared" si="8"/>
        <v>141725.82701295713</v>
      </c>
      <c r="I44" s="1375">
        <f t="shared" si="19"/>
        <v>169088.60201175776</v>
      </c>
      <c r="J44" s="1375">
        <f t="shared" si="19"/>
        <v>169325.0235683691</v>
      </c>
      <c r="K44" s="1375">
        <f t="shared" si="19"/>
        <v>182722.52836930475</v>
      </c>
      <c r="L44" s="1375">
        <f t="shared" si="19"/>
        <v>188918.77283138075</v>
      </c>
      <c r="M44" s="1376">
        <f t="shared" si="19"/>
        <v>171300.25554386739</v>
      </c>
      <c r="N44" s="1372">
        <f t="shared" si="10"/>
        <v>100224.59501906054</v>
      </c>
      <c r="O44" s="1375">
        <f t="shared" si="20"/>
        <v>167412.5971819174</v>
      </c>
      <c r="P44" s="1375">
        <f t="shared" si="20"/>
        <v>167476.80074601172</v>
      </c>
      <c r="Q44" s="1375">
        <f t="shared" si="20"/>
        <v>173825.24961645476</v>
      </c>
      <c r="R44" s="1375">
        <f t="shared" si="20"/>
        <v>185435.97286168684</v>
      </c>
      <c r="S44" s="1376">
        <f t="shared" si="20"/>
        <v>187834.89488297049</v>
      </c>
    </row>
    <row r="45" spans="1:19" s="1284" customFormat="1" ht="15" x14ac:dyDescent="0.25">
      <c r="A45" s="1299">
        <v>2043</v>
      </c>
      <c r="B45" s="1372">
        <f t="shared" si="6"/>
        <v>162352.82643157447</v>
      </c>
      <c r="C45" s="1375">
        <f t="shared" si="18"/>
        <v>166491.34068466845</v>
      </c>
      <c r="D45" s="1375">
        <f t="shared" si="18"/>
        <v>166824.35212007107</v>
      </c>
      <c r="E45" s="1375">
        <f t="shared" si="18"/>
        <v>180472.04796841176</v>
      </c>
      <c r="F45" s="1375">
        <f t="shared" si="18"/>
        <v>202856.72849640969</v>
      </c>
      <c r="G45" s="1376">
        <f t="shared" si="18"/>
        <v>173934.33667954474</v>
      </c>
      <c r="H45" s="1372">
        <f t="shared" si="8"/>
        <v>141725.82701295713</v>
      </c>
      <c r="I45" s="1375">
        <f t="shared" si="19"/>
        <v>169088.60201175776</v>
      </c>
      <c r="J45" s="1375">
        <f t="shared" si="19"/>
        <v>169325.0235683691</v>
      </c>
      <c r="K45" s="1375">
        <f t="shared" si="19"/>
        <v>182576.17421304333</v>
      </c>
      <c r="L45" s="1375">
        <f t="shared" si="19"/>
        <v>188339.80539301981</v>
      </c>
      <c r="M45" s="1376">
        <f t="shared" si="19"/>
        <v>170767.51163685846</v>
      </c>
      <c r="N45" s="1372">
        <f t="shared" si="10"/>
        <v>100224.59501906054</v>
      </c>
      <c r="O45" s="1375">
        <f t="shared" si="20"/>
        <v>167412.5971819174</v>
      </c>
      <c r="P45" s="1375">
        <f t="shared" si="20"/>
        <v>167476.80074601172</v>
      </c>
      <c r="Q45" s="1375">
        <f t="shared" si="20"/>
        <v>173825.24961645476</v>
      </c>
      <c r="R45" s="1375">
        <f t="shared" si="20"/>
        <v>185450.64027445039</v>
      </c>
      <c r="S45" s="1376">
        <f t="shared" si="20"/>
        <v>187474.78906587645</v>
      </c>
    </row>
    <row r="46" spans="1:19" s="1284" customFormat="1" ht="15" x14ac:dyDescent="0.25">
      <c r="A46" s="1299">
        <v>2044</v>
      </c>
      <c r="B46" s="1372">
        <f t="shared" si="6"/>
        <v>162352.82643157447</v>
      </c>
      <c r="C46" s="1375">
        <f t="shared" si="18"/>
        <v>166491.34068466845</v>
      </c>
      <c r="D46" s="1375">
        <f t="shared" si="18"/>
        <v>166824.35212007107</v>
      </c>
      <c r="E46" s="1375">
        <f t="shared" si="18"/>
        <v>180789.78968700438</v>
      </c>
      <c r="F46" s="1375">
        <f t="shared" si="18"/>
        <v>202319.65640032265</v>
      </c>
      <c r="G46" s="1376">
        <f t="shared" si="18"/>
        <v>173456.4957864988</v>
      </c>
      <c r="H46" s="1372">
        <f t="shared" si="8"/>
        <v>141725.82701295713</v>
      </c>
      <c r="I46" s="1375">
        <f t="shared" si="19"/>
        <v>169088.60201175776</v>
      </c>
      <c r="J46" s="1375">
        <f t="shared" si="19"/>
        <v>169325.0235683691</v>
      </c>
      <c r="K46" s="1375">
        <f t="shared" si="19"/>
        <v>182429.8200567819</v>
      </c>
      <c r="L46" s="1375">
        <f t="shared" si="19"/>
        <v>187760.83795465887</v>
      </c>
      <c r="M46" s="1376">
        <f t="shared" si="19"/>
        <v>170234.76772984953</v>
      </c>
      <c r="N46" s="1372">
        <f t="shared" si="10"/>
        <v>100224.59501906054</v>
      </c>
      <c r="O46" s="1375">
        <f t="shared" si="20"/>
        <v>167412.5971819174</v>
      </c>
      <c r="P46" s="1375">
        <f t="shared" si="20"/>
        <v>167476.80074601172</v>
      </c>
      <c r="Q46" s="1375">
        <f t="shared" si="20"/>
        <v>173825.24961645476</v>
      </c>
      <c r="R46" s="1375">
        <f t="shared" si="20"/>
        <v>185465.30768721394</v>
      </c>
      <c r="S46" s="1376">
        <f t="shared" si="20"/>
        <v>187114.68324878241</v>
      </c>
    </row>
    <row r="47" spans="1:19" s="1284" customFormat="1" ht="15" x14ac:dyDescent="0.25">
      <c r="A47" s="1305">
        <v>2045</v>
      </c>
      <c r="B47" s="1377">
        <f t="shared" si="6"/>
        <v>162352.82643157447</v>
      </c>
      <c r="C47" s="1378">
        <f t="shared" si="18"/>
        <v>166491.34068466845</v>
      </c>
      <c r="D47" s="1378">
        <f t="shared" si="18"/>
        <v>166824.35212007107</v>
      </c>
      <c r="E47" s="1378">
        <f t="shared" si="18"/>
        <v>181107.53140559699</v>
      </c>
      <c r="F47" s="1378">
        <f t="shared" si="18"/>
        <v>201782.58430423561</v>
      </c>
      <c r="G47" s="1379">
        <f t="shared" si="18"/>
        <v>172978.65489345285</v>
      </c>
      <c r="H47" s="1377">
        <f t="shared" si="8"/>
        <v>141725.82701295713</v>
      </c>
      <c r="I47" s="1378">
        <f t="shared" si="19"/>
        <v>169088.60201175776</v>
      </c>
      <c r="J47" s="1378">
        <f t="shared" si="19"/>
        <v>169325.0235683691</v>
      </c>
      <c r="K47" s="1378">
        <f t="shared" si="19"/>
        <v>182283.46590052047</v>
      </c>
      <c r="L47" s="1378">
        <f t="shared" si="19"/>
        <v>187181.87051629793</v>
      </c>
      <c r="M47" s="1379">
        <f t="shared" si="19"/>
        <v>169702.02382284059</v>
      </c>
      <c r="N47" s="1377">
        <f t="shared" si="10"/>
        <v>100224.59501906054</v>
      </c>
      <c r="O47" s="1378">
        <f t="shared" si="20"/>
        <v>167412.5971819174</v>
      </c>
      <c r="P47" s="1378">
        <f t="shared" si="20"/>
        <v>167476.80074601172</v>
      </c>
      <c r="Q47" s="1378">
        <f t="shared" si="20"/>
        <v>173825.24961645476</v>
      </c>
      <c r="R47" s="1378">
        <f t="shared" si="20"/>
        <v>185479.97509997748</v>
      </c>
      <c r="S47" s="1379">
        <f t="shared" si="20"/>
        <v>186754.57743168835</v>
      </c>
    </row>
    <row r="48" spans="1:19" s="1284" customFormat="1" ht="15" x14ac:dyDescent="0.25">
      <c r="A48" s="1299">
        <v>2046</v>
      </c>
      <c r="B48" s="1380">
        <f t="shared" si="6"/>
        <v>162352.82643157447</v>
      </c>
      <c r="C48" s="1381">
        <f t="shared" si="18"/>
        <v>166491.34068466845</v>
      </c>
      <c r="D48" s="1381">
        <f t="shared" si="18"/>
        <v>166824.35212007107</v>
      </c>
      <c r="E48" s="1381">
        <f t="shared" si="18"/>
        <v>181425.27312418961</v>
      </c>
      <c r="F48" s="1381">
        <f t="shared" si="18"/>
        <v>201245.51220814858</v>
      </c>
      <c r="G48" s="1382">
        <f t="shared" si="18"/>
        <v>172500.81400040691</v>
      </c>
      <c r="H48" s="1380">
        <f t="shared" si="8"/>
        <v>141725.82701295713</v>
      </c>
      <c r="I48" s="1381">
        <f t="shared" si="19"/>
        <v>169088.60201175776</v>
      </c>
      <c r="J48" s="1381">
        <f t="shared" si="19"/>
        <v>169325.0235683691</v>
      </c>
      <c r="K48" s="1381">
        <f t="shared" si="19"/>
        <v>182137.11174425905</v>
      </c>
      <c r="L48" s="1381">
        <f t="shared" si="19"/>
        <v>186602.90307793699</v>
      </c>
      <c r="M48" s="1382">
        <f t="shared" si="19"/>
        <v>169169.27991583166</v>
      </c>
      <c r="N48" s="1380">
        <f t="shared" si="10"/>
        <v>100224.59501906054</v>
      </c>
      <c r="O48" s="1381">
        <f t="shared" si="20"/>
        <v>167412.5971819174</v>
      </c>
      <c r="P48" s="1381">
        <f t="shared" si="20"/>
        <v>167476.80074601172</v>
      </c>
      <c r="Q48" s="1381">
        <f t="shared" si="20"/>
        <v>173825.24961645476</v>
      </c>
      <c r="R48" s="1381">
        <f t="shared" si="20"/>
        <v>185494.64251274103</v>
      </c>
      <c r="S48" s="1382">
        <f t="shared" si="20"/>
        <v>186394.47161459428</v>
      </c>
    </row>
    <row r="49" spans="1:19" s="1284" customFormat="1" ht="15" x14ac:dyDescent="0.25">
      <c r="A49" s="1299">
        <v>2047</v>
      </c>
      <c r="B49" s="1372">
        <f t="shared" si="6"/>
        <v>162352.82643157447</v>
      </c>
      <c r="C49" s="1375">
        <f t="shared" si="18"/>
        <v>166491.34068466845</v>
      </c>
      <c r="D49" s="1375">
        <f t="shared" si="18"/>
        <v>166824.35212007107</v>
      </c>
      <c r="E49" s="1375">
        <f t="shared" si="18"/>
        <v>181743.01484278223</v>
      </c>
      <c r="F49" s="1375">
        <f t="shared" si="18"/>
        <v>200708.44011206154</v>
      </c>
      <c r="G49" s="1376">
        <f t="shared" si="18"/>
        <v>172022.97310736097</v>
      </c>
      <c r="H49" s="1372">
        <f t="shared" si="8"/>
        <v>141725.82701295713</v>
      </c>
      <c r="I49" s="1375">
        <f t="shared" si="19"/>
        <v>169088.60201175776</v>
      </c>
      <c r="J49" s="1375">
        <f t="shared" si="19"/>
        <v>169325.0235683691</v>
      </c>
      <c r="K49" s="1375">
        <f t="shared" si="19"/>
        <v>181990.75758799762</v>
      </c>
      <c r="L49" s="1375">
        <f t="shared" si="19"/>
        <v>186023.93563957606</v>
      </c>
      <c r="M49" s="1376">
        <f t="shared" si="19"/>
        <v>168636.53600882273</v>
      </c>
      <c r="N49" s="1372">
        <f t="shared" si="10"/>
        <v>100224.59501906054</v>
      </c>
      <c r="O49" s="1375">
        <f t="shared" si="20"/>
        <v>167412.5971819174</v>
      </c>
      <c r="P49" s="1375">
        <f t="shared" si="20"/>
        <v>167476.80074601172</v>
      </c>
      <c r="Q49" s="1375">
        <f t="shared" si="20"/>
        <v>173825.24961645476</v>
      </c>
      <c r="R49" s="1375">
        <f t="shared" si="20"/>
        <v>185509.30992550458</v>
      </c>
      <c r="S49" s="1376">
        <f t="shared" si="20"/>
        <v>186034.36579750024</v>
      </c>
    </row>
    <row r="50" spans="1:19" s="1284" customFormat="1" ht="15" x14ac:dyDescent="0.25">
      <c r="A50" s="1299">
        <v>2048</v>
      </c>
      <c r="B50" s="1372">
        <f t="shared" si="6"/>
        <v>162352.82643157447</v>
      </c>
      <c r="C50" s="1375">
        <f t="shared" si="18"/>
        <v>166491.34068466845</v>
      </c>
      <c r="D50" s="1375">
        <f t="shared" si="18"/>
        <v>166824.35212007107</v>
      </c>
      <c r="E50" s="1375">
        <f t="shared" si="18"/>
        <v>182060.75656137484</v>
      </c>
      <c r="F50" s="1375">
        <f t="shared" si="18"/>
        <v>200171.3680159745</v>
      </c>
      <c r="G50" s="1376">
        <f t="shared" si="18"/>
        <v>171545.13221431503</v>
      </c>
      <c r="H50" s="1372">
        <f t="shared" si="8"/>
        <v>141725.82701295713</v>
      </c>
      <c r="I50" s="1375">
        <f t="shared" si="19"/>
        <v>169088.60201175776</v>
      </c>
      <c r="J50" s="1375">
        <f t="shared" si="19"/>
        <v>169325.0235683691</v>
      </c>
      <c r="K50" s="1375">
        <f t="shared" si="19"/>
        <v>181844.40343173619</v>
      </c>
      <c r="L50" s="1375">
        <f t="shared" si="19"/>
        <v>185444.96820121512</v>
      </c>
      <c r="M50" s="1376">
        <f t="shared" si="19"/>
        <v>168103.7921018138</v>
      </c>
      <c r="N50" s="1372">
        <f t="shared" si="10"/>
        <v>100224.59501906054</v>
      </c>
      <c r="O50" s="1375">
        <f t="shared" si="20"/>
        <v>167412.5971819174</v>
      </c>
      <c r="P50" s="1375">
        <f t="shared" si="20"/>
        <v>167476.80074601172</v>
      </c>
      <c r="Q50" s="1375">
        <f t="shared" si="20"/>
        <v>173825.24961645476</v>
      </c>
      <c r="R50" s="1375">
        <f t="shared" si="20"/>
        <v>185523.97733826813</v>
      </c>
      <c r="S50" s="1376">
        <f t="shared" si="20"/>
        <v>185674.2599804062</v>
      </c>
    </row>
    <row r="51" spans="1:19" s="1284" customFormat="1" ht="15" x14ac:dyDescent="0.25">
      <c r="A51" s="1299">
        <v>2049</v>
      </c>
      <c r="B51" s="1372">
        <f t="shared" si="6"/>
        <v>162352.82643157447</v>
      </c>
      <c r="C51" s="1375">
        <f t="shared" si="18"/>
        <v>166491.34068466845</v>
      </c>
      <c r="D51" s="1375">
        <f t="shared" si="18"/>
        <v>166824.35212007107</v>
      </c>
      <c r="E51" s="1375">
        <f t="shared" si="18"/>
        <v>182378.49827996746</v>
      </c>
      <c r="F51" s="1375">
        <f t="shared" si="18"/>
        <v>199634.29591988746</v>
      </c>
      <c r="G51" s="1376">
        <f t="shared" si="18"/>
        <v>171067.29132126909</v>
      </c>
      <c r="H51" s="1372">
        <f t="shared" si="8"/>
        <v>141725.82701295713</v>
      </c>
      <c r="I51" s="1375">
        <f t="shared" si="19"/>
        <v>169088.60201175776</v>
      </c>
      <c r="J51" s="1375">
        <f t="shared" si="19"/>
        <v>169325.0235683691</v>
      </c>
      <c r="K51" s="1375">
        <f t="shared" si="19"/>
        <v>181698.04927547477</v>
      </c>
      <c r="L51" s="1375">
        <f t="shared" si="19"/>
        <v>184866.00076285418</v>
      </c>
      <c r="M51" s="1376">
        <f t="shared" si="19"/>
        <v>167571.04819480487</v>
      </c>
      <c r="N51" s="1372">
        <f t="shared" si="10"/>
        <v>100224.59501906054</v>
      </c>
      <c r="O51" s="1375">
        <f t="shared" si="20"/>
        <v>167412.5971819174</v>
      </c>
      <c r="P51" s="1375">
        <f t="shared" si="20"/>
        <v>167476.80074601172</v>
      </c>
      <c r="Q51" s="1375">
        <f t="shared" si="20"/>
        <v>173825.24961645476</v>
      </c>
      <c r="R51" s="1375">
        <f t="shared" si="20"/>
        <v>185538.64475103168</v>
      </c>
      <c r="S51" s="1376">
        <f t="shared" si="20"/>
        <v>185314.15416331214</v>
      </c>
    </row>
    <row r="52" spans="1:19" s="1284" customFormat="1" ht="15.75" thickBot="1" x14ac:dyDescent="0.3">
      <c r="A52" s="1312">
        <v>2050</v>
      </c>
      <c r="B52" s="1383">
        <f t="shared" si="6"/>
        <v>162352.82643157447</v>
      </c>
      <c r="C52" s="1384">
        <f t="shared" si="18"/>
        <v>166491.34068466845</v>
      </c>
      <c r="D52" s="1384">
        <f t="shared" si="18"/>
        <v>166824.35212007107</v>
      </c>
      <c r="E52" s="1384">
        <f t="shared" si="18"/>
        <v>182696.23999856022</v>
      </c>
      <c r="F52" s="1384">
        <f t="shared" si="18"/>
        <v>199097.22382380048</v>
      </c>
      <c r="G52" s="1385">
        <f t="shared" si="18"/>
        <v>170589.45042822332</v>
      </c>
      <c r="H52" s="1383">
        <f t="shared" si="8"/>
        <v>141725.82701295713</v>
      </c>
      <c r="I52" s="1384">
        <f t="shared" si="19"/>
        <v>169088.60201175776</v>
      </c>
      <c r="J52" s="1384">
        <f t="shared" si="19"/>
        <v>169325.0235683691</v>
      </c>
      <c r="K52" s="1384">
        <f t="shared" si="19"/>
        <v>181551.69511921323</v>
      </c>
      <c r="L52" s="1384">
        <f t="shared" si="19"/>
        <v>184287.03332449321</v>
      </c>
      <c r="M52" s="1385">
        <f t="shared" si="19"/>
        <v>167038.30428779608</v>
      </c>
      <c r="N52" s="1383">
        <f t="shared" si="10"/>
        <v>100224.59501906054</v>
      </c>
      <c r="O52" s="1384">
        <f t="shared" si="20"/>
        <v>167412.5971819174</v>
      </c>
      <c r="P52" s="1384">
        <f t="shared" si="20"/>
        <v>167476.80074601172</v>
      </c>
      <c r="Q52" s="1384">
        <f t="shared" si="20"/>
        <v>173825.24961645476</v>
      </c>
      <c r="R52" s="1384">
        <f t="shared" si="20"/>
        <v>185553.3121637952</v>
      </c>
      <c r="S52" s="1385">
        <f t="shared" si="20"/>
        <v>184954.04834621804</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C1" zoomScale="60" zoomScaleNormal="60" workbookViewId="0">
      <selection activeCell="F49" sqref="F49"/>
    </sheetView>
  </sheetViews>
  <sheetFormatPr defaultColWidth="14.7109375" defaultRowHeight="12.75" x14ac:dyDescent="0.2"/>
  <cols>
    <col min="1" max="12" width="14.7109375" style="52"/>
    <col min="13" max="13" width="19.140625" style="52" bestFit="1" customWidth="1"/>
    <col min="14" max="15" width="14.7109375" style="52"/>
    <col min="16" max="16" width="15.7109375" style="52" customWidth="1"/>
    <col min="17" max="16384" width="14.7109375" style="52"/>
  </cols>
  <sheetData>
    <row r="1" spans="1:30" ht="23.25" x14ac:dyDescent="0.35">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3.5" thickBot="1" x14ac:dyDescent="0.25"/>
    <row r="5" spans="1:30" ht="18.75" x14ac:dyDescent="0.3">
      <c r="A5" s="77"/>
      <c r="B5" s="1631" t="s">
        <v>10</v>
      </c>
      <c r="C5" s="1630"/>
      <c r="D5" s="1630"/>
      <c r="E5" s="1632"/>
      <c r="F5" s="1631" t="s">
        <v>11</v>
      </c>
      <c r="G5" s="1630"/>
      <c r="H5" s="1630"/>
      <c r="I5" s="1632"/>
      <c r="J5" s="79"/>
      <c r="K5" s="77"/>
      <c r="L5" s="1631" t="s">
        <v>10</v>
      </c>
      <c r="M5" s="1630"/>
      <c r="N5" s="1630"/>
      <c r="O5" s="1632"/>
      <c r="P5" s="1631" t="s">
        <v>11</v>
      </c>
      <c r="Q5" s="1630"/>
      <c r="R5" s="1630"/>
      <c r="S5" s="1632"/>
      <c r="T5" s="79">
        <v>1</v>
      </c>
      <c r="U5" s="77"/>
      <c r="V5" s="1630" t="s">
        <v>10</v>
      </c>
      <c r="W5" s="1630"/>
      <c r="X5" s="1630"/>
      <c r="Y5" s="1630"/>
      <c r="Z5" s="1631" t="s">
        <v>11</v>
      </c>
      <c r="AA5" s="1630"/>
      <c r="AB5" s="1632"/>
      <c r="AC5" s="78"/>
    </row>
    <row r="6" spans="1:30" s="1412" customFormat="1" ht="45" customHeight="1" thickBot="1" x14ac:dyDescent="0.25">
      <c r="A6" s="1401" t="s">
        <v>12</v>
      </c>
      <c r="B6" s="1402" t="s">
        <v>13</v>
      </c>
      <c r="C6" s="1403" t="s">
        <v>373</v>
      </c>
      <c r="D6" s="1404" t="s">
        <v>15</v>
      </c>
      <c r="E6" s="1405" t="s">
        <v>372</v>
      </c>
      <c r="F6" s="1402" t="s">
        <v>13</v>
      </c>
      <c r="G6" s="1403" t="s">
        <v>373</v>
      </c>
      <c r="H6" s="1404" t="s">
        <v>15</v>
      </c>
      <c r="I6" s="1405" t="s">
        <v>372</v>
      </c>
      <c r="J6" s="1406" t="s">
        <v>374</v>
      </c>
      <c r="K6" s="1401" t="s">
        <v>12</v>
      </c>
      <c r="L6" s="1402" t="s">
        <v>13</v>
      </c>
      <c r="M6" s="1403" t="s">
        <v>373</v>
      </c>
      <c r="N6" s="1404" t="s">
        <v>15</v>
      </c>
      <c r="O6" s="1405" t="s">
        <v>372</v>
      </c>
      <c r="P6" s="1402" t="s">
        <v>13</v>
      </c>
      <c r="Q6" s="1403" t="s">
        <v>373</v>
      </c>
      <c r="R6" s="1404" t="s">
        <v>15</v>
      </c>
      <c r="S6" s="1405" t="s">
        <v>372</v>
      </c>
      <c r="T6" s="1406"/>
      <c r="U6" s="1401" t="s">
        <v>12</v>
      </c>
      <c r="V6" s="1407" t="s">
        <v>13</v>
      </c>
      <c r="W6" s="1408" t="s">
        <v>14</v>
      </c>
      <c r="X6" s="1407" t="s">
        <v>15</v>
      </c>
      <c r="Y6" s="1408" t="s">
        <v>16</v>
      </c>
      <c r="Z6" s="1409" t="s">
        <v>13</v>
      </c>
      <c r="AA6" s="1408" t="s">
        <v>14</v>
      </c>
      <c r="AB6" s="1410" t="s">
        <v>15</v>
      </c>
      <c r="AC6" s="1411" t="s">
        <v>16</v>
      </c>
    </row>
    <row r="7" spans="1:30" ht="18.75" x14ac:dyDescent="0.3">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f t="shared" ref="J7:J48" si="4">A7*1000/OPDAYS_Cls1</f>
        <v>0</v>
      </c>
      <c r="K7" s="86">
        <v>0</v>
      </c>
      <c r="L7" s="468">
        <v>455.41399999999999</v>
      </c>
      <c r="M7" s="81">
        <v>1515.472</v>
      </c>
      <c r="N7" s="80">
        <v>377.03719999999998</v>
      </c>
      <c r="O7" s="469">
        <v>1452.3679999999999</v>
      </c>
      <c r="P7" s="82">
        <f t="shared" ref="P7:P48" si="5">IF(M$51=0,0,L7/M$51)</f>
        <v>6.1482995906353421E-3</v>
      </c>
      <c r="Q7" s="83">
        <f t="shared" ref="Q7:Q48" si="6">IF(O$51=0,0,M7/O$51)</f>
        <v>2.6576119620509795E-4</v>
      </c>
      <c r="R7" s="456">
        <f t="shared" ref="R7:R48" si="7">IF(M$51=0,0,N7/M$51)</f>
        <v>5.0901765479636017E-3</v>
      </c>
      <c r="S7" s="84">
        <f t="shared" ref="S7:S48" si="8">IF(O$51=0,0,O7/O$51)</f>
        <v>2.5469494455193214E-4</v>
      </c>
      <c r="T7" s="3">
        <f t="shared" ref="T7:T48" si="9">K7*1000/OPDAYS_Cls2</f>
        <v>0</v>
      </c>
      <c r="U7" s="86">
        <v>0</v>
      </c>
      <c r="V7" s="80">
        <v>1586.4960000000001</v>
      </c>
      <c r="W7" s="81">
        <v>5113.2812697999998</v>
      </c>
      <c r="X7" s="80">
        <v>3291.1450999999997</v>
      </c>
      <c r="Y7" s="87">
        <v>11474.4704757</v>
      </c>
      <c r="Z7" s="82">
        <f t="shared" ref="Z7:Z48" si="10">IF(W$51=0,0,V7/W$51)</f>
        <v>2.0457803284261861E-2</v>
      </c>
      <c r="AA7" s="83">
        <f t="shared" ref="AA7:AA48" si="11">IF(Y$51=0,0,W7/Y$51)</f>
        <v>2.4186753268329482E-3</v>
      </c>
      <c r="AB7" s="84">
        <f t="shared" ref="AB7:AB48" si="12">IF(W$51=0,0,X7/W$51)</f>
        <v>4.2439186128274083E-2</v>
      </c>
      <c r="AC7" s="85">
        <f t="shared" ref="AC7:AC48" si="13">IF(Y$51=0,0,Y7/Y$51)</f>
        <v>5.4276338741549883E-3</v>
      </c>
      <c r="AD7" s="52">
        <f t="shared" ref="AD7:AD48" si="14">U7*1000/OPDAYS_Cls3</f>
        <v>0</v>
      </c>
    </row>
    <row r="8" spans="1:30" ht="18.75" x14ac:dyDescent="0.3">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f t="shared" si="4"/>
        <v>20</v>
      </c>
      <c r="K8" s="94">
        <v>5</v>
      </c>
      <c r="L8" s="470">
        <v>396.22390000000001</v>
      </c>
      <c r="M8" s="89">
        <v>3067.0360000000001</v>
      </c>
      <c r="N8" s="88">
        <v>503.51850000000002</v>
      </c>
      <c r="O8" s="471">
        <v>3842.4180000000001</v>
      </c>
      <c r="P8" s="90">
        <f t="shared" si="5"/>
        <v>5.3492058701970933E-3</v>
      </c>
      <c r="Q8" s="91">
        <f t="shared" si="6"/>
        <v>5.3785167668165353E-4</v>
      </c>
      <c r="R8" s="457">
        <f t="shared" si="7"/>
        <v>6.7977325849168492E-3</v>
      </c>
      <c r="S8" s="92">
        <f t="shared" si="8"/>
        <v>6.7382677080144013E-4</v>
      </c>
      <c r="T8" s="3">
        <f t="shared" si="9"/>
        <v>20</v>
      </c>
      <c r="U8" s="94">
        <v>5</v>
      </c>
      <c r="V8" s="88">
        <v>3246.1117000000004</v>
      </c>
      <c r="W8" s="89">
        <v>27329.557050900006</v>
      </c>
      <c r="X8" s="88">
        <v>6181.638799999997</v>
      </c>
      <c r="Y8" s="95">
        <v>50899.896887500028</v>
      </c>
      <c r="Z8" s="90">
        <f t="shared" si="10"/>
        <v>4.1858482213217585E-2</v>
      </c>
      <c r="AA8" s="91">
        <f t="shared" si="11"/>
        <v>1.292737908291729E-2</v>
      </c>
      <c r="AB8" s="92">
        <f t="shared" si="12"/>
        <v>7.9711988271486636E-2</v>
      </c>
      <c r="AC8" s="93">
        <f t="shared" si="13"/>
        <v>2.4076579840669084E-2</v>
      </c>
      <c r="AD8" s="52">
        <f t="shared" si="14"/>
        <v>20</v>
      </c>
    </row>
    <row r="9" spans="1:30" ht="18.75" x14ac:dyDescent="0.3">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f t="shared" si="4"/>
        <v>40</v>
      </c>
      <c r="K9" s="94">
        <f t="shared" ref="K9:K40" si="16">+K8+5</f>
        <v>10</v>
      </c>
      <c r="L9" s="470">
        <v>1010.35259999999</v>
      </c>
      <c r="M9" s="89">
        <v>13143.563</v>
      </c>
      <c r="N9" s="88">
        <v>1100.8408999999999</v>
      </c>
      <c r="O9" s="471">
        <v>14427.4089999999</v>
      </c>
      <c r="P9" s="90">
        <f t="shared" si="5"/>
        <v>1.3640227303019435E-2</v>
      </c>
      <c r="Q9" s="91">
        <f t="shared" si="6"/>
        <v>2.3049248189851517E-3</v>
      </c>
      <c r="R9" s="457">
        <f t="shared" si="7"/>
        <v>1.4861861196240436E-2</v>
      </c>
      <c r="S9" s="92">
        <f t="shared" si="8"/>
        <v>2.5300668530861469E-3</v>
      </c>
      <c r="T9" s="3">
        <f t="shared" si="9"/>
        <v>40</v>
      </c>
      <c r="U9" s="94">
        <f t="shared" ref="U9:U40" si="17">+U8+5</f>
        <v>10</v>
      </c>
      <c r="V9" s="88">
        <v>4067.7950000000014</v>
      </c>
      <c r="W9" s="89">
        <v>53340.16690020002</v>
      </c>
      <c r="X9" s="88">
        <v>5884.1002999999992</v>
      </c>
      <c r="Y9" s="95">
        <v>74684.951303599999</v>
      </c>
      <c r="Z9" s="90">
        <f t="shared" si="10"/>
        <v>5.2454055926207187E-2</v>
      </c>
      <c r="AA9" s="91">
        <f t="shared" si="11"/>
        <v>2.523087207673038E-2</v>
      </c>
      <c r="AB9" s="92">
        <f t="shared" si="12"/>
        <v>7.5875241060970947E-2</v>
      </c>
      <c r="AC9" s="93">
        <f t="shared" si="13"/>
        <v>3.5327344511756738E-2</v>
      </c>
      <c r="AD9" s="52">
        <f t="shared" si="14"/>
        <v>40</v>
      </c>
    </row>
    <row r="10" spans="1:30" ht="18.75" x14ac:dyDescent="0.3">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f t="shared" si="4"/>
        <v>60</v>
      </c>
      <c r="K10" s="94">
        <f t="shared" si="16"/>
        <v>15</v>
      </c>
      <c r="L10" s="470">
        <v>1068.2598</v>
      </c>
      <c r="M10" s="89">
        <v>18413.037999999899</v>
      </c>
      <c r="N10" s="88">
        <v>1429.8081</v>
      </c>
      <c r="O10" s="471">
        <v>26597.382000000001</v>
      </c>
      <c r="P10" s="90">
        <f t="shared" si="5"/>
        <v>1.4422001280224571E-2</v>
      </c>
      <c r="Q10" s="91">
        <f t="shared" si="6"/>
        <v>3.2290078633256817E-3</v>
      </c>
      <c r="R10" s="457">
        <f t="shared" si="7"/>
        <v>1.9303070515875879E-2</v>
      </c>
      <c r="S10" s="92">
        <f t="shared" si="8"/>
        <v>4.6642577733167889E-3</v>
      </c>
      <c r="T10" s="3">
        <f t="shared" si="9"/>
        <v>60</v>
      </c>
      <c r="U10" s="94">
        <f t="shared" si="17"/>
        <v>15</v>
      </c>
      <c r="V10" s="88">
        <v>3887.7840999999994</v>
      </c>
      <c r="W10" s="89">
        <v>71520.6606531</v>
      </c>
      <c r="X10" s="88">
        <v>5832.7905999999975</v>
      </c>
      <c r="Y10" s="95">
        <v>105671.20272490001</v>
      </c>
      <c r="Z10" s="90">
        <f t="shared" si="10"/>
        <v>5.0132822477636889E-2</v>
      </c>
      <c r="AA10" s="91">
        <f t="shared" si="11"/>
        <v>3.3830577305052324E-2</v>
      </c>
      <c r="AB10" s="92">
        <f t="shared" si="12"/>
        <v>7.5213604505206214E-2</v>
      </c>
      <c r="AC10" s="93">
        <f t="shared" si="13"/>
        <v>4.998440674425781E-2</v>
      </c>
      <c r="AD10" s="52">
        <f t="shared" si="14"/>
        <v>60</v>
      </c>
    </row>
    <row r="11" spans="1:30" ht="18.75" x14ac:dyDescent="0.3">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f t="shared" si="4"/>
        <v>80</v>
      </c>
      <c r="K11" s="94">
        <f>+K10+5</f>
        <v>20</v>
      </c>
      <c r="L11" s="470">
        <v>1930.7424000000001</v>
      </c>
      <c r="M11" s="89">
        <v>44967.369999999901</v>
      </c>
      <c r="N11" s="88">
        <v>880.51700000000005</v>
      </c>
      <c r="O11" s="471">
        <v>20791.761999999999</v>
      </c>
      <c r="P11" s="90">
        <f t="shared" si="5"/>
        <v>2.6065915205817781E-2</v>
      </c>
      <c r="Q11" s="91">
        <f t="shared" si="6"/>
        <v>7.88571616063986E-3</v>
      </c>
      <c r="R11" s="457">
        <f t="shared" si="7"/>
        <v>1.1887386664984959E-2</v>
      </c>
      <c r="S11" s="92">
        <f t="shared" si="8"/>
        <v>3.6461535022301299E-3</v>
      </c>
      <c r="T11" s="3">
        <f t="shared" si="9"/>
        <v>80</v>
      </c>
      <c r="U11" s="94">
        <f>+U10+5</f>
        <v>20</v>
      </c>
      <c r="V11" s="88">
        <v>3031.5534000000007</v>
      </c>
      <c r="W11" s="89">
        <v>70481.949212300009</v>
      </c>
      <c r="X11" s="88">
        <v>6351.5653000000002</v>
      </c>
      <c r="Y11" s="95">
        <v>145675.2032369001</v>
      </c>
      <c r="Z11" s="90">
        <f t="shared" si="10"/>
        <v>3.9091761405597752E-2</v>
      </c>
      <c r="AA11" s="91">
        <f t="shared" si="11"/>
        <v>3.3339247843401115E-2</v>
      </c>
      <c r="AB11" s="92">
        <f t="shared" si="12"/>
        <v>8.1903183780194622E-2</v>
      </c>
      <c r="AC11" s="93">
        <f t="shared" si="13"/>
        <v>6.890702881561743E-2</v>
      </c>
      <c r="AD11" s="52">
        <f t="shared" si="14"/>
        <v>80</v>
      </c>
    </row>
    <row r="12" spans="1:30" ht="18.75" x14ac:dyDescent="0.3">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f t="shared" si="4"/>
        <v>100</v>
      </c>
      <c r="K12" s="94">
        <f t="shared" si="16"/>
        <v>25</v>
      </c>
      <c r="L12" s="470">
        <v>1459.87569999999</v>
      </c>
      <c r="M12" s="89">
        <v>40540.396000000001</v>
      </c>
      <c r="N12" s="88">
        <v>1127.5441000000001</v>
      </c>
      <c r="O12" s="471">
        <v>31585.745999999901</v>
      </c>
      <c r="P12" s="90">
        <f t="shared" si="5"/>
        <v>1.9708997019609462E-2</v>
      </c>
      <c r="Q12" s="91">
        <f t="shared" si="6"/>
        <v>7.1093785537366368E-3</v>
      </c>
      <c r="R12" s="457">
        <f t="shared" si="7"/>
        <v>1.5222366744222391E-2</v>
      </c>
      <c r="S12" s="92">
        <f t="shared" si="8"/>
        <v>5.5390437038693964E-3</v>
      </c>
      <c r="T12" s="3">
        <f t="shared" si="9"/>
        <v>100</v>
      </c>
      <c r="U12" s="94">
        <f t="shared" si="17"/>
        <v>25</v>
      </c>
      <c r="V12" s="88">
        <v>4000.4311999999991</v>
      </c>
      <c r="W12" s="89">
        <v>111892.51392849999</v>
      </c>
      <c r="X12" s="88">
        <v>6327.574499999997</v>
      </c>
      <c r="Y12" s="95">
        <v>178753.6499543</v>
      </c>
      <c r="Z12" s="90">
        <f t="shared" si="10"/>
        <v>5.1585402384767179E-2</v>
      </c>
      <c r="AA12" s="91">
        <f t="shared" si="11"/>
        <v>5.2927200444570957E-2</v>
      </c>
      <c r="AB12" s="92">
        <f t="shared" si="12"/>
        <v>8.1593823361364615E-2</v>
      </c>
      <c r="AC12" s="93">
        <f t="shared" si="13"/>
        <v>8.45537375929859E-2</v>
      </c>
      <c r="AD12" s="52">
        <f t="shared" si="14"/>
        <v>100</v>
      </c>
    </row>
    <row r="13" spans="1:30" ht="18.75" x14ac:dyDescent="0.3">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f t="shared" si="4"/>
        <v>120</v>
      </c>
      <c r="K13" s="94">
        <f t="shared" si="16"/>
        <v>30</v>
      </c>
      <c r="L13" s="470">
        <v>1766.5920999999901</v>
      </c>
      <c r="M13" s="89">
        <v>57401.540999999997</v>
      </c>
      <c r="N13" s="88">
        <v>1424.3596</v>
      </c>
      <c r="O13" s="471">
        <v>46454.703999999998</v>
      </c>
      <c r="P13" s="90">
        <f t="shared" si="5"/>
        <v>2.3849810250123116E-2</v>
      </c>
      <c r="Q13" s="91">
        <f t="shared" si="6"/>
        <v>1.0066238241403321E-2</v>
      </c>
      <c r="R13" s="457">
        <f t="shared" si="7"/>
        <v>1.9229513246403318E-2</v>
      </c>
      <c r="S13" s="92">
        <f t="shared" si="8"/>
        <v>8.1465429281397141E-3</v>
      </c>
      <c r="T13" s="3">
        <f t="shared" si="9"/>
        <v>120</v>
      </c>
      <c r="U13" s="94">
        <f t="shared" si="17"/>
        <v>30</v>
      </c>
      <c r="V13" s="88">
        <v>2433.5399000000002</v>
      </c>
      <c r="W13" s="89">
        <v>78093.81746060001</v>
      </c>
      <c r="X13" s="88">
        <v>4607.3185999999987</v>
      </c>
      <c r="Y13" s="95">
        <v>147900.50045819997</v>
      </c>
      <c r="Z13" s="90">
        <f t="shared" si="10"/>
        <v>3.138040093300095E-2</v>
      </c>
      <c r="AA13" s="91">
        <f t="shared" si="11"/>
        <v>3.6939800395047954E-2</v>
      </c>
      <c r="AB13" s="92">
        <f t="shared" si="12"/>
        <v>5.9411191447517497E-2</v>
      </c>
      <c r="AC13" s="93">
        <f t="shared" si="13"/>
        <v>6.9959634999403303E-2</v>
      </c>
      <c r="AD13" s="52">
        <f t="shared" si="14"/>
        <v>120</v>
      </c>
    </row>
    <row r="14" spans="1:30" ht="18.75" x14ac:dyDescent="0.3">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f t="shared" si="4"/>
        <v>140</v>
      </c>
      <c r="K14" s="94">
        <f t="shared" si="16"/>
        <v>35</v>
      </c>
      <c r="L14" s="470">
        <v>1483.3704</v>
      </c>
      <c r="M14" s="89">
        <v>56498.048999999999</v>
      </c>
      <c r="N14" s="88">
        <v>1532.8508999999999</v>
      </c>
      <c r="O14" s="471">
        <v>58347.328999999998</v>
      </c>
      <c r="P14" s="90">
        <f t="shared" si="5"/>
        <v>2.0026186333930412E-2</v>
      </c>
      <c r="Q14" s="91">
        <f t="shared" si="6"/>
        <v>9.9077970991837769E-3</v>
      </c>
      <c r="R14" s="457">
        <f t="shared" si="7"/>
        <v>2.0694195964496075E-2</v>
      </c>
      <c r="S14" s="92">
        <f t="shared" si="8"/>
        <v>1.023209663419212E-2</v>
      </c>
      <c r="T14" s="3">
        <f t="shared" si="9"/>
        <v>140</v>
      </c>
      <c r="U14" s="94">
        <f t="shared" si="17"/>
        <v>35</v>
      </c>
      <c r="V14" s="88">
        <v>1507.7938000000006</v>
      </c>
      <c r="W14" s="89">
        <v>57747.626754200006</v>
      </c>
      <c r="X14" s="88">
        <v>2574.3629999999994</v>
      </c>
      <c r="Y14" s="95">
        <v>98202.747962299982</v>
      </c>
      <c r="Z14" s="90">
        <f t="shared" si="10"/>
        <v>1.9442941522468182E-2</v>
      </c>
      <c r="AA14" s="91">
        <f t="shared" si="11"/>
        <v>2.731568099695109E-2</v>
      </c>
      <c r="AB14" s="92">
        <f t="shared" si="12"/>
        <v>3.3196309247727193E-2</v>
      </c>
      <c r="AC14" s="93">
        <f t="shared" si="13"/>
        <v>4.645169138776907E-2</v>
      </c>
      <c r="AD14" s="52">
        <f t="shared" si="14"/>
        <v>140</v>
      </c>
    </row>
    <row r="15" spans="1:30" ht="18.75" x14ac:dyDescent="0.3">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f t="shared" si="4"/>
        <v>160</v>
      </c>
      <c r="K15" s="94">
        <f t="shared" si="16"/>
        <v>40</v>
      </c>
      <c r="L15" s="470">
        <v>1384.4818</v>
      </c>
      <c r="M15" s="89">
        <v>58570.233</v>
      </c>
      <c r="N15" s="88">
        <v>527.10400000000004</v>
      </c>
      <c r="O15" s="471">
        <v>22903.161</v>
      </c>
      <c r="P15" s="90">
        <f t="shared" si="5"/>
        <v>1.8691144506277985E-2</v>
      </c>
      <c r="Q15" s="91">
        <f t="shared" si="6"/>
        <v>1.0271186260182506E-2</v>
      </c>
      <c r="R15" s="457">
        <f t="shared" si="7"/>
        <v>7.1161477412250212E-3</v>
      </c>
      <c r="S15" s="92">
        <f t="shared" si="8"/>
        <v>4.0164196133204355E-3</v>
      </c>
      <c r="T15" s="3">
        <f t="shared" si="9"/>
        <v>160</v>
      </c>
      <c r="U15" s="94">
        <f t="shared" si="17"/>
        <v>40</v>
      </c>
      <c r="V15" s="88">
        <v>1575.2067000000002</v>
      </c>
      <c r="W15" s="89">
        <v>67740.184828900005</v>
      </c>
      <c r="X15" s="88">
        <v>1436.6661000000004</v>
      </c>
      <c r="Y15" s="95">
        <v>61209.360521200011</v>
      </c>
      <c r="Z15" s="90">
        <f t="shared" si="10"/>
        <v>2.0312228206469659E-2</v>
      </c>
      <c r="AA15" s="91">
        <f t="shared" si="11"/>
        <v>3.2042343269564066E-2</v>
      </c>
      <c r="AB15" s="92">
        <f t="shared" si="12"/>
        <v>1.8525752639129051E-2</v>
      </c>
      <c r="AC15" s="93">
        <f t="shared" si="13"/>
        <v>2.8953144224283956E-2</v>
      </c>
      <c r="AD15" s="52">
        <f t="shared" si="14"/>
        <v>160</v>
      </c>
    </row>
    <row r="16" spans="1:30" ht="18.75" x14ac:dyDescent="0.3">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f t="shared" si="4"/>
        <v>180</v>
      </c>
      <c r="K16" s="94">
        <f t="shared" si="16"/>
        <v>45</v>
      </c>
      <c r="L16" s="470">
        <v>2437.8386</v>
      </c>
      <c r="M16" s="89">
        <v>117824.859999999</v>
      </c>
      <c r="N16" s="88">
        <v>1195.047</v>
      </c>
      <c r="O16" s="471">
        <v>58122.951999999997</v>
      </c>
      <c r="P16" s="90">
        <f t="shared" si="5"/>
        <v>3.2911948395119683E-2</v>
      </c>
      <c r="Q16" s="91">
        <f t="shared" si="6"/>
        <v>2.0662391476911436E-2</v>
      </c>
      <c r="R16" s="457">
        <f t="shared" si="7"/>
        <v>1.6133687108630817E-2</v>
      </c>
      <c r="S16" s="92">
        <f t="shared" si="8"/>
        <v>1.0192748695120392E-2</v>
      </c>
      <c r="T16" s="3">
        <f t="shared" si="9"/>
        <v>180</v>
      </c>
      <c r="U16" s="94">
        <f t="shared" si="17"/>
        <v>45</v>
      </c>
      <c r="V16" s="88">
        <v>1427.0545999999999</v>
      </c>
      <c r="W16" s="89">
        <v>68973.062843199994</v>
      </c>
      <c r="X16" s="88">
        <v>836.4615</v>
      </c>
      <c r="Y16" s="95">
        <v>40642.646009800003</v>
      </c>
      <c r="Z16" s="90">
        <f t="shared" si="10"/>
        <v>1.8401812726096374E-2</v>
      </c>
      <c r="AA16" s="91">
        <f t="shared" si="11"/>
        <v>3.2625517062837291E-2</v>
      </c>
      <c r="AB16" s="92">
        <f t="shared" si="12"/>
        <v>1.0786138018538087E-2</v>
      </c>
      <c r="AC16" s="93">
        <f t="shared" si="13"/>
        <v>1.9224713043206752E-2</v>
      </c>
      <c r="AD16" s="52">
        <f t="shared" si="14"/>
        <v>180</v>
      </c>
    </row>
    <row r="17" spans="1:30" ht="18.75" x14ac:dyDescent="0.3">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f t="shared" si="4"/>
        <v>200</v>
      </c>
      <c r="K17" s="94">
        <f t="shared" si="16"/>
        <v>50</v>
      </c>
      <c r="L17" s="470">
        <v>1523.0124000000001</v>
      </c>
      <c r="M17" s="89">
        <v>80162.679999999993</v>
      </c>
      <c r="N17" s="88">
        <v>1680.5527</v>
      </c>
      <c r="O17" s="471">
        <v>87541.116999999998</v>
      </c>
      <c r="P17" s="90">
        <f t="shared" si="5"/>
        <v>2.0561371665018095E-2</v>
      </c>
      <c r="Q17" s="91">
        <f t="shared" si="6"/>
        <v>1.4057752124622876E-2</v>
      </c>
      <c r="R17" s="457">
        <f t="shared" si="7"/>
        <v>2.2688238564144095E-2</v>
      </c>
      <c r="S17" s="92">
        <f t="shared" si="8"/>
        <v>1.5351673914826823E-2</v>
      </c>
      <c r="T17" s="3">
        <f t="shared" si="9"/>
        <v>200</v>
      </c>
      <c r="U17" s="94">
        <f t="shared" si="17"/>
        <v>50</v>
      </c>
      <c r="V17" s="88">
        <v>571.39710000000002</v>
      </c>
      <c r="W17" s="89">
        <v>30177.891872900003</v>
      </c>
      <c r="X17" s="88">
        <v>528.73239999999998</v>
      </c>
      <c r="Y17" s="95">
        <v>27443.2739545</v>
      </c>
      <c r="Z17" s="90">
        <f t="shared" si="10"/>
        <v>7.3681430454269675E-3</v>
      </c>
      <c r="AA17" s="91">
        <f t="shared" si="11"/>
        <v>1.4274693418473091E-2</v>
      </c>
      <c r="AB17" s="92">
        <f t="shared" si="12"/>
        <v>6.8179834233528819E-3</v>
      </c>
      <c r="AC17" s="93">
        <f t="shared" si="13"/>
        <v>1.2981169252960469E-2</v>
      </c>
      <c r="AD17" s="52">
        <f t="shared" si="14"/>
        <v>200</v>
      </c>
    </row>
    <row r="18" spans="1:30" ht="18.75" x14ac:dyDescent="0.3">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f t="shared" si="4"/>
        <v>220</v>
      </c>
      <c r="K18" s="94">
        <f t="shared" si="16"/>
        <v>55</v>
      </c>
      <c r="L18" s="470">
        <v>1458.675</v>
      </c>
      <c r="M18" s="89">
        <v>85329.2959999999</v>
      </c>
      <c r="N18" s="88">
        <v>1213.1447000000001</v>
      </c>
      <c r="O18" s="471">
        <v>70266.301999999996</v>
      </c>
      <c r="P18" s="90">
        <f t="shared" si="5"/>
        <v>1.9692787014386929E-2</v>
      </c>
      <c r="Q18" s="91">
        <f t="shared" si="6"/>
        <v>1.49637972699587E-2</v>
      </c>
      <c r="R18" s="457">
        <f t="shared" si="7"/>
        <v>1.6378014427293485E-2</v>
      </c>
      <c r="S18" s="92">
        <f t="shared" si="8"/>
        <v>1.232227086506954E-2</v>
      </c>
      <c r="T18" s="3">
        <f t="shared" si="9"/>
        <v>220</v>
      </c>
      <c r="U18" s="94">
        <f t="shared" si="17"/>
        <v>55</v>
      </c>
      <c r="V18" s="88">
        <v>369.18089999999995</v>
      </c>
      <c r="W18" s="89">
        <v>21321.6819062</v>
      </c>
      <c r="X18" s="88">
        <v>809.79319999999996</v>
      </c>
      <c r="Y18" s="95">
        <v>47941.236421100002</v>
      </c>
      <c r="Z18" s="90">
        <f t="shared" si="10"/>
        <v>4.7605731300342062E-3</v>
      </c>
      <c r="AA18" s="91">
        <f t="shared" si="11"/>
        <v>1.0085544532371002E-2</v>
      </c>
      <c r="AB18" s="92">
        <f t="shared" si="12"/>
        <v>1.0442251342917297E-2</v>
      </c>
      <c r="AC18" s="93">
        <f t="shared" si="13"/>
        <v>2.2677079462541497E-2</v>
      </c>
      <c r="AD18" s="52">
        <f t="shared" si="14"/>
        <v>220</v>
      </c>
    </row>
    <row r="19" spans="1:30" ht="18.75" x14ac:dyDescent="0.3">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f t="shared" si="4"/>
        <v>240</v>
      </c>
      <c r="K19" s="94">
        <f t="shared" si="16"/>
        <v>60</v>
      </c>
      <c r="L19" s="470">
        <v>2040.8957</v>
      </c>
      <c r="M19" s="89">
        <v>127764.553</v>
      </c>
      <c r="N19" s="88">
        <v>526.22969999999998</v>
      </c>
      <c r="O19" s="471">
        <v>32847.394</v>
      </c>
      <c r="P19" s="90">
        <f t="shared" si="5"/>
        <v>2.7553035692445625E-2</v>
      </c>
      <c r="Q19" s="91">
        <f t="shared" si="6"/>
        <v>2.2405468684271061E-2</v>
      </c>
      <c r="R19" s="457">
        <f t="shared" si="7"/>
        <v>7.1043442869348746E-3</v>
      </c>
      <c r="S19" s="92">
        <f t="shared" si="8"/>
        <v>5.7602929791247589E-3</v>
      </c>
      <c r="T19" s="3">
        <f t="shared" si="9"/>
        <v>240</v>
      </c>
      <c r="U19" s="94">
        <f t="shared" si="17"/>
        <v>60</v>
      </c>
      <c r="V19" s="88">
        <v>239.59610000000001</v>
      </c>
      <c r="W19" s="89">
        <v>14785.852513900001</v>
      </c>
      <c r="X19" s="88">
        <v>193.85490000000004</v>
      </c>
      <c r="Y19" s="95">
        <v>11981.370364499999</v>
      </c>
      <c r="Z19" s="90">
        <f t="shared" si="10"/>
        <v>3.0895822501136672E-3</v>
      </c>
      <c r="AA19" s="91">
        <f t="shared" si="11"/>
        <v>6.9939779907627984E-3</v>
      </c>
      <c r="AB19" s="92">
        <f t="shared" si="12"/>
        <v>2.4997512820015022E-3</v>
      </c>
      <c r="AC19" s="93">
        <f t="shared" si="13"/>
        <v>5.6674067693907862E-3</v>
      </c>
      <c r="AD19" s="52">
        <f t="shared" si="14"/>
        <v>240</v>
      </c>
    </row>
    <row r="20" spans="1:30" ht="18.75" x14ac:dyDescent="0.3">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f t="shared" si="4"/>
        <v>260</v>
      </c>
      <c r="K20" s="94">
        <f t="shared" si="16"/>
        <v>65</v>
      </c>
      <c r="L20" s="470">
        <v>1071.1591999999901</v>
      </c>
      <c r="M20" s="89">
        <v>72268.667000000001</v>
      </c>
      <c r="N20" s="88">
        <v>1721.8702000000001</v>
      </c>
      <c r="O20" s="471">
        <v>116180.515</v>
      </c>
      <c r="P20" s="90">
        <f t="shared" si="5"/>
        <v>1.4461144520952847E-2</v>
      </c>
      <c r="Q20" s="91">
        <f t="shared" si="6"/>
        <v>1.2673416196450932E-2</v>
      </c>
      <c r="R20" s="457">
        <f t="shared" si="7"/>
        <v>2.3246043920009476E-2</v>
      </c>
      <c r="S20" s="92">
        <f t="shared" si="8"/>
        <v>2.0374030428885737E-2</v>
      </c>
      <c r="T20" s="3">
        <f t="shared" si="9"/>
        <v>260</v>
      </c>
      <c r="U20" s="94">
        <f t="shared" si="17"/>
        <v>65</v>
      </c>
      <c r="V20" s="88">
        <v>337.29359999999997</v>
      </c>
      <c r="W20" s="89">
        <v>23119.950836199998</v>
      </c>
      <c r="X20" s="88">
        <v>873.49450000000002</v>
      </c>
      <c r="Y20" s="95">
        <v>59801.014994600002</v>
      </c>
      <c r="Z20" s="90">
        <f t="shared" si="10"/>
        <v>4.3493876554624184E-3</v>
      </c>
      <c r="AA20" s="91">
        <f t="shared" si="11"/>
        <v>1.0936158543708462E-2</v>
      </c>
      <c r="AB20" s="92">
        <f t="shared" si="12"/>
        <v>1.1263677091454797E-2</v>
      </c>
      <c r="AC20" s="93">
        <f t="shared" si="13"/>
        <v>2.8286971096480203E-2</v>
      </c>
      <c r="AD20" s="52">
        <f t="shared" si="14"/>
        <v>260</v>
      </c>
    </row>
    <row r="21" spans="1:30" ht="18.75" x14ac:dyDescent="0.3">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f t="shared" si="4"/>
        <v>280</v>
      </c>
      <c r="K21" s="94">
        <f t="shared" si="16"/>
        <v>70</v>
      </c>
      <c r="L21" s="470">
        <v>2101.2222999999999</v>
      </c>
      <c r="M21" s="89">
        <v>152797.033999999</v>
      </c>
      <c r="N21" s="88">
        <v>1433.5342000000001</v>
      </c>
      <c r="O21" s="471">
        <v>104665.05499999999</v>
      </c>
      <c r="P21" s="90">
        <f t="shared" si="5"/>
        <v>2.8367472688419444E-2</v>
      </c>
      <c r="Q21" s="91">
        <f t="shared" si="6"/>
        <v>2.6795297130155327E-2</v>
      </c>
      <c r="R21" s="457">
        <f t="shared" si="7"/>
        <v>1.9353374588883442E-2</v>
      </c>
      <c r="S21" s="92">
        <f t="shared" si="8"/>
        <v>1.8354618374785126E-2</v>
      </c>
      <c r="T21" s="3">
        <f t="shared" si="9"/>
        <v>280</v>
      </c>
      <c r="U21" s="94">
        <f t="shared" si="17"/>
        <v>70</v>
      </c>
      <c r="V21" s="88">
        <v>625.3845</v>
      </c>
      <c r="W21" s="89">
        <v>45775.046318499997</v>
      </c>
      <c r="X21" s="88">
        <v>74.381799999999998</v>
      </c>
      <c r="Y21" s="95">
        <v>5319.3768362000001</v>
      </c>
      <c r="Z21" s="90">
        <f t="shared" si="10"/>
        <v>8.0643084369746033E-3</v>
      </c>
      <c r="AA21" s="91">
        <f t="shared" si="11"/>
        <v>2.1652432024245327E-2</v>
      </c>
      <c r="AB21" s="92">
        <f t="shared" si="12"/>
        <v>9.5915037436546243E-4</v>
      </c>
      <c r="AC21" s="93">
        <f t="shared" si="13"/>
        <v>2.5161622897280755E-3</v>
      </c>
      <c r="AD21" s="52">
        <f t="shared" si="14"/>
        <v>280</v>
      </c>
    </row>
    <row r="22" spans="1:30" ht="18.75" x14ac:dyDescent="0.3">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f t="shared" si="4"/>
        <v>300</v>
      </c>
      <c r="K22" s="94">
        <f t="shared" si="16"/>
        <v>75</v>
      </c>
      <c r="L22" s="470">
        <v>1654.29259999999</v>
      </c>
      <c r="M22" s="89">
        <v>129589.42200000001</v>
      </c>
      <c r="N22" s="88">
        <v>1437.3330000000001</v>
      </c>
      <c r="O22" s="471">
        <v>112909.545</v>
      </c>
      <c r="P22" s="90">
        <f t="shared" si="5"/>
        <v>2.2333715071058455E-2</v>
      </c>
      <c r="Q22" s="91">
        <f t="shared" si="6"/>
        <v>2.2725487377033188E-2</v>
      </c>
      <c r="R22" s="457">
        <f t="shared" si="7"/>
        <v>1.9404660145508634E-2</v>
      </c>
      <c r="S22" s="92">
        <f t="shared" si="8"/>
        <v>1.980041580588314E-2</v>
      </c>
      <c r="T22" s="3">
        <f t="shared" si="9"/>
        <v>300</v>
      </c>
      <c r="U22" s="94">
        <f t="shared" si="17"/>
        <v>75</v>
      </c>
      <c r="V22" s="88">
        <v>154.32050000000001</v>
      </c>
      <c r="W22" s="89">
        <v>12206.060251000003</v>
      </c>
      <c r="X22" s="88">
        <v>624.81139999999994</v>
      </c>
      <c r="Y22" s="95">
        <v>49411.109789799993</v>
      </c>
      <c r="Z22" s="90">
        <f t="shared" si="10"/>
        <v>1.9899567548414443E-3</v>
      </c>
      <c r="AA22" s="91">
        <f t="shared" si="11"/>
        <v>5.7736891849262239E-3</v>
      </c>
      <c r="AB22" s="92">
        <f t="shared" si="12"/>
        <v>8.0569183351009068E-3</v>
      </c>
      <c r="AC22" s="93">
        <f t="shared" si="13"/>
        <v>2.3372356382166642E-2</v>
      </c>
      <c r="AD22" s="52">
        <f t="shared" si="14"/>
        <v>300</v>
      </c>
    </row>
    <row r="23" spans="1:30" ht="18.75" x14ac:dyDescent="0.3">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f t="shared" si="4"/>
        <v>320</v>
      </c>
      <c r="K23" s="94">
        <f t="shared" si="16"/>
        <v>80</v>
      </c>
      <c r="L23" s="470">
        <v>2683.4986999999901</v>
      </c>
      <c r="M23" s="89">
        <v>222613.96599999999</v>
      </c>
      <c r="N23" s="88">
        <v>2033.1388999999999</v>
      </c>
      <c r="O23" s="471">
        <v>168690.07199999999</v>
      </c>
      <c r="P23" s="90">
        <f t="shared" si="5"/>
        <v>3.6228473342234564E-2</v>
      </c>
      <c r="Q23" s="91">
        <f t="shared" si="6"/>
        <v>3.9038764092059107E-2</v>
      </c>
      <c r="R23" s="457">
        <f t="shared" si="7"/>
        <v>2.744831530557864E-2</v>
      </c>
      <c r="S23" s="92">
        <f t="shared" si="8"/>
        <v>2.9582384446986878E-2</v>
      </c>
      <c r="T23" s="3">
        <f t="shared" si="9"/>
        <v>320</v>
      </c>
      <c r="U23" s="94">
        <f t="shared" si="17"/>
        <v>80</v>
      </c>
      <c r="V23" s="88">
        <v>105.05269999999999</v>
      </c>
      <c r="W23" s="89">
        <v>8733.4503960000002</v>
      </c>
      <c r="X23" s="88">
        <v>108.85039999999999</v>
      </c>
      <c r="Y23" s="95">
        <v>9036.201019099999</v>
      </c>
      <c r="Z23" s="90">
        <f t="shared" si="10"/>
        <v>1.3546504189613938E-3</v>
      </c>
      <c r="AA23" s="91">
        <f t="shared" si="11"/>
        <v>4.1310813695470457E-3</v>
      </c>
      <c r="AB23" s="92">
        <f t="shared" si="12"/>
        <v>1.4036216105261009E-3</v>
      </c>
      <c r="AC23" s="93">
        <f t="shared" si="13"/>
        <v>4.2742879376269412E-3</v>
      </c>
      <c r="AD23" s="52">
        <f t="shared" si="14"/>
        <v>320</v>
      </c>
    </row>
    <row r="24" spans="1:30" ht="18.75" x14ac:dyDescent="0.3">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f t="shared" si="4"/>
        <v>340</v>
      </c>
      <c r="K24" s="94">
        <f t="shared" si="16"/>
        <v>85</v>
      </c>
      <c r="L24" s="470">
        <v>1913.39129999999</v>
      </c>
      <c r="M24" s="89">
        <v>168878.98099999901</v>
      </c>
      <c r="N24" s="88">
        <v>1179.1614</v>
      </c>
      <c r="O24" s="471">
        <v>103645.571</v>
      </c>
      <c r="P24" s="90">
        <f t="shared" si="5"/>
        <v>2.5831667332394621E-2</v>
      </c>
      <c r="Q24" s="91">
        <f t="shared" si="6"/>
        <v>2.9615512529731824E-2</v>
      </c>
      <c r="R24" s="457">
        <f t="shared" si="7"/>
        <v>1.5919224162878165E-2</v>
      </c>
      <c r="S24" s="92">
        <f t="shared" si="8"/>
        <v>1.8175836261125518E-2</v>
      </c>
      <c r="T24" s="3">
        <f t="shared" si="9"/>
        <v>340</v>
      </c>
      <c r="U24" s="94">
        <f t="shared" si="17"/>
        <v>85</v>
      </c>
      <c r="V24" s="88">
        <v>333.61880000000002</v>
      </c>
      <c r="W24" s="89">
        <v>29138.413549500001</v>
      </c>
      <c r="X24" s="88">
        <v>189.23439999999999</v>
      </c>
      <c r="Y24" s="95">
        <v>16683.33294</v>
      </c>
      <c r="Z24" s="90">
        <f t="shared" si="10"/>
        <v>4.3020012545455519E-3</v>
      </c>
      <c r="AA24" s="91">
        <f t="shared" si="11"/>
        <v>1.3783001207361143E-2</v>
      </c>
      <c r="AB24" s="92">
        <f t="shared" si="12"/>
        <v>2.4401701169213929E-3</v>
      </c>
      <c r="AC24" s="93">
        <f t="shared" si="13"/>
        <v>7.8915208497606654E-3</v>
      </c>
      <c r="AD24" s="52">
        <f t="shared" si="14"/>
        <v>340</v>
      </c>
    </row>
    <row r="25" spans="1:30" ht="18.75" x14ac:dyDescent="0.3">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f t="shared" si="4"/>
        <v>360</v>
      </c>
      <c r="K25" s="94">
        <f t="shared" si="16"/>
        <v>90</v>
      </c>
      <c r="L25" s="470">
        <v>1992.4115999999999</v>
      </c>
      <c r="M25" s="89">
        <v>184257.72899999999</v>
      </c>
      <c r="N25" s="88">
        <v>965.65989999999999</v>
      </c>
      <c r="O25" s="471">
        <v>88458.058000000005</v>
      </c>
      <c r="P25" s="90">
        <f t="shared" si="5"/>
        <v>2.6898477922631073E-2</v>
      </c>
      <c r="Q25" s="91">
        <f t="shared" si="6"/>
        <v>3.2312411228366318E-2</v>
      </c>
      <c r="R25" s="457">
        <f t="shared" si="7"/>
        <v>1.3036855186408337E-2</v>
      </c>
      <c r="S25" s="92">
        <f t="shared" si="8"/>
        <v>1.5512473544915337E-2</v>
      </c>
      <c r="T25" s="3">
        <f t="shared" si="9"/>
        <v>360</v>
      </c>
      <c r="U25" s="94">
        <f t="shared" si="17"/>
        <v>90</v>
      </c>
      <c r="V25" s="88">
        <v>52.854500000000002</v>
      </c>
      <c r="W25" s="89">
        <v>4803.4339649000003</v>
      </c>
      <c r="X25" s="88">
        <v>60.427300000000002</v>
      </c>
      <c r="Y25" s="95">
        <v>5491.0855080000001</v>
      </c>
      <c r="Z25" s="90">
        <f t="shared" si="10"/>
        <v>6.8155669077515381E-4</v>
      </c>
      <c r="AA25" s="91">
        <f t="shared" si="11"/>
        <v>2.2721118987904638E-3</v>
      </c>
      <c r="AB25" s="92">
        <f t="shared" si="12"/>
        <v>7.7920764779682808E-4</v>
      </c>
      <c r="AC25" s="93">
        <f t="shared" si="13"/>
        <v>2.5973836241261657E-3</v>
      </c>
      <c r="AD25" s="52">
        <f t="shared" si="14"/>
        <v>360</v>
      </c>
    </row>
    <row r="26" spans="1:30" ht="18.75" x14ac:dyDescent="0.3">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f t="shared" si="4"/>
        <v>380</v>
      </c>
      <c r="K26" s="94">
        <f t="shared" si="16"/>
        <v>95</v>
      </c>
      <c r="L26" s="470">
        <v>1499.40379999999</v>
      </c>
      <c r="M26" s="89">
        <v>148605.92600000001</v>
      </c>
      <c r="N26" s="88">
        <v>1616.0700999999899</v>
      </c>
      <c r="O26" s="471">
        <v>159168.21400000001</v>
      </c>
      <c r="P26" s="90">
        <f t="shared" si="5"/>
        <v>2.0242644648027983E-2</v>
      </c>
      <c r="Q26" s="91">
        <f t="shared" si="6"/>
        <v>2.6060322234212355E-2</v>
      </c>
      <c r="R26" s="457">
        <f t="shared" si="7"/>
        <v>2.1817693646370019E-2</v>
      </c>
      <c r="S26" s="92">
        <f t="shared" si="8"/>
        <v>2.7912580998176818E-2</v>
      </c>
      <c r="T26" s="3">
        <f t="shared" si="9"/>
        <v>380</v>
      </c>
      <c r="U26" s="94">
        <f t="shared" si="17"/>
        <v>95</v>
      </c>
      <c r="V26" s="88">
        <v>17.5535</v>
      </c>
      <c r="W26" s="89">
        <v>1755.35</v>
      </c>
      <c r="X26" s="88">
        <v>35.531599999999997</v>
      </c>
      <c r="Y26" s="95">
        <v>3489.2031199999997</v>
      </c>
      <c r="Z26" s="90">
        <f t="shared" si="10"/>
        <v>2.2635168947812695E-4</v>
      </c>
      <c r="AA26" s="91">
        <f t="shared" si="11"/>
        <v>8.3031257443858116E-4</v>
      </c>
      <c r="AB26" s="92">
        <f t="shared" si="12"/>
        <v>4.5817857919281145E-4</v>
      </c>
      <c r="AC26" s="93">
        <f t="shared" si="13"/>
        <v>1.6504567324501266E-3</v>
      </c>
      <c r="AD26" s="52">
        <f t="shared" si="14"/>
        <v>380</v>
      </c>
    </row>
    <row r="27" spans="1:30" ht="18.75" x14ac:dyDescent="0.3">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f t="shared" si="4"/>
        <v>400</v>
      </c>
      <c r="K27" s="94">
        <f t="shared" si="16"/>
        <v>100</v>
      </c>
      <c r="L27" s="470">
        <v>1488.4650999999999</v>
      </c>
      <c r="M27" s="89">
        <v>151164.02799999999</v>
      </c>
      <c r="N27" s="88">
        <v>368.87189999999998</v>
      </c>
      <c r="O27" s="471">
        <v>38092.885000000002</v>
      </c>
      <c r="P27" s="90">
        <f t="shared" si="5"/>
        <v>2.0094967139800256E-2</v>
      </c>
      <c r="Q27" s="91">
        <f t="shared" si="6"/>
        <v>2.6508924549223555E-2</v>
      </c>
      <c r="R27" s="457">
        <f t="shared" si="7"/>
        <v>4.9799412221997585E-3</v>
      </c>
      <c r="S27" s="92">
        <f t="shared" si="8"/>
        <v>6.6801700622005772E-3</v>
      </c>
      <c r="T27" s="3">
        <f t="shared" si="9"/>
        <v>400</v>
      </c>
      <c r="U27" s="94">
        <f t="shared" si="17"/>
        <v>100</v>
      </c>
      <c r="V27" s="88">
        <v>10.134399999999999</v>
      </c>
      <c r="W27" s="89">
        <v>1036.0498464</v>
      </c>
      <c r="X27" s="88">
        <v>57.123000000000005</v>
      </c>
      <c r="Y27" s="95">
        <v>5899.4290926000003</v>
      </c>
      <c r="Z27" s="90">
        <f t="shared" si="10"/>
        <v>1.3068268788829179E-4</v>
      </c>
      <c r="AA27" s="91">
        <f t="shared" si="11"/>
        <v>4.9007047894213725E-4</v>
      </c>
      <c r="AB27" s="92">
        <f t="shared" si="12"/>
        <v>7.3659882975241682E-4</v>
      </c>
      <c r="AC27" s="93">
        <f t="shared" si="13"/>
        <v>2.7905375894235166E-3</v>
      </c>
      <c r="AD27" s="52">
        <f t="shared" si="14"/>
        <v>400</v>
      </c>
    </row>
    <row r="28" spans="1:30" ht="18.75" x14ac:dyDescent="0.3">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f t="shared" si="4"/>
        <v>420</v>
      </c>
      <c r="K28" s="94">
        <f t="shared" si="16"/>
        <v>105</v>
      </c>
      <c r="L28" s="470">
        <v>739.90470000000005</v>
      </c>
      <c r="M28" s="89">
        <v>79229.471999999994</v>
      </c>
      <c r="N28" s="88">
        <v>666.90329999999994</v>
      </c>
      <c r="O28" s="471">
        <v>72431.176999999996</v>
      </c>
      <c r="P28" s="90">
        <f t="shared" si="5"/>
        <v>9.9890555936338506E-3</v>
      </c>
      <c r="Q28" s="91">
        <f t="shared" si="6"/>
        <v>1.3894099827260625E-2</v>
      </c>
      <c r="R28" s="457">
        <f t="shared" si="7"/>
        <v>9.0035029366320723E-3</v>
      </c>
      <c r="S28" s="92">
        <f t="shared" si="8"/>
        <v>1.2701914810740929E-2</v>
      </c>
      <c r="T28" s="3">
        <f t="shared" si="9"/>
        <v>420</v>
      </c>
      <c r="U28" s="94">
        <f t="shared" si="17"/>
        <v>105</v>
      </c>
      <c r="V28" s="88">
        <v>0</v>
      </c>
      <c r="W28" s="89">
        <v>0</v>
      </c>
      <c r="X28" s="88">
        <v>144.16370000000001</v>
      </c>
      <c r="Y28" s="95">
        <v>15591.853449599999</v>
      </c>
      <c r="Z28" s="90">
        <f t="shared" si="10"/>
        <v>0</v>
      </c>
      <c r="AA28" s="91">
        <f t="shared" si="11"/>
        <v>0</v>
      </c>
      <c r="AB28" s="92">
        <f t="shared" si="12"/>
        <v>1.858985219837517E-3</v>
      </c>
      <c r="AC28" s="93">
        <f t="shared" si="13"/>
        <v>7.3752311379533704E-3</v>
      </c>
      <c r="AD28" s="52">
        <f t="shared" si="14"/>
        <v>420</v>
      </c>
    </row>
    <row r="29" spans="1:30" ht="18.75" x14ac:dyDescent="0.3">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3">
        <f t="shared" si="4"/>
        <v>440</v>
      </c>
      <c r="K29" s="94">
        <f t="shared" si="16"/>
        <v>110</v>
      </c>
      <c r="L29" s="470">
        <v>544.17139999999995</v>
      </c>
      <c r="M29" s="89">
        <v>61365.601999999999</v>
      </c>
      <c r="N29" s="88">
        <v>410.79509999999999</v>
      </c>
      <c r="O29" s="471">
        <v>46323.256999999998</v>
      </c>
      <c r="P29" s="90">
        <f t="shared" si="5"/>
        <v>7.3465655334606778E-3</v>
      </c>
      <c r="Q29" s="91">
        <f t="shared" si="6"/>
        <v>1.0761396972933813E-2</v>
      </c>
      <c r="R29" s="457">
        <f t="shared" si="7"/>
        <v>5.5459238081503959E-3</v>
      </c>
      <c r="S29" s="92">
        <f t="shared" si="8"/>
        <v>8.1234916860464437E-3</v>
      </c>
      <c r="T29" s="3">
        <f t="shared" si="9"/>
        <v>440</v>
      </c>
      <c r="U29" s="94">
        <f t="shared" si="17"/>
        <v>110</v>
      </c>
      <c r="V29" s="88">
        <v>0</v>
      </c>
      <c r="W29" s="89">
        <v>0</v>
      </c>
      <c r="X29" s="88">
        <v>0</v>
      </c>
      <c r="Y29" s="95">
        <v>0</v>
      </c>
      <c r="Z29" s="90">
        <f t="shared" si="10"/>
        <v>0</v>
      </c>
      <c r="AA29" s="91">
        <f t="shared" si="11"/>
        <v>0</v>
      </c>
      <c r="AB29" s="92">
        <f t="shared" si="12"/>
        <v>0</v>
      </c>
      <c r="AC29" s="93">
        <f t="shared" si="13"/>
        <v>0</v>
      </c>
      <c r="AD29" s="52">
        <f t="shared" si="14"/>
        <v>440</v>
      </c>
    </row>
    <row r="30" spans="1:30" ht="18.75" x14ac:dyDescent="0.3">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f t="shared" si="4"/>
        <v>460</v>
      </c>
      <c r="K30" s="94">
        <f t="shared" si="16"/>
        <v>115</v>
      </c>
      <c r="L30" s="470">
        <v>769.06920000000002</v>
      </c>
      <c r="M30" s="89">
        <v>91467.982999999906</v>
      </c>
      <c r="N30" s="88">
        <v>1185.1524999999999</v>
      </c>
      <c r="O30" s="471">
        <v>139586.94899999999</v>
      </c>
      <c r="P30" s="90">
        <f t="shared" si="5"/>
        <v>1.0382789829759846E-2</v>
      </c>
      <c r="Q30" s="91">
        <f t="shared" si="6"/>
        <v>1.6040309934164099E-2</v>
      </c>
      <c r="R30" s="457">
        <f t="shared" si="7"/>
        <v>1.6000106783257546E-2</v>
      </c>
      <c r="S30" s="92">
        <f t="shared" si="8"/>
        <v>2.4478706660934678E-2</v>
      </c>
      <c r="T30" s="3">
        <f t="shared" si="9"/>
        <v>460</v>
      </c>
      <c r="U30" s="94">
        <f t="shared" si="17"/>
        <v>115</v>
      </c>
      <c r="V30" s="88">
        <v>0</v>
      </c>
      <c r="W30" s="89">
        <v>0</v>
      </c>
      <c r="X30" s="88">
        <v>0</v>
      </c>
      <c r="Y30" s="95">
        <v>0</v>
      </c>
      <c r="Z30" s="90">
        <f t="shared" si="10"/>
        <v>0</v>
      </c>
      <c r="AA30" s="91">
        <f t="shared" si="11"/>
        <v>0</v>
      </c>
      <c r="AB30" s="92">
        <f t="shared" si="12"/>
        <v>0</v>
      </c>
      <c r="AC30" s="93">
        <f t="shared" si="13"/>
        <v>0</v>
      </c>
      <c r="AD30" s="52">
        <f t="shared" si="14"/>
        <v>460</v>
      </c>
    </row>
    <row r="31" spans="1:30" ht="18.75" x14ac:dyDescent="0.3">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f t="shared" si="4"/>
        <v>480</v>
      </c>
      <c r="K31" s="94">
        <f t="shared" si="16"/>
        <v>120</v>
      </c>
      <c r="L31" s="470">
        <v>1675.8359</v>
      </c>
      <c r="M31" s="89">
        <v>203931.10299999901</v>
      </c>
      <c r="N31" s="88">
        <v>870.24490000000003</v>
      </c>
      <c r="O31" s="471">
        <v>105227.204999999</v>
      </c>
      <c r="P31" s="90">
        <f t="shared" si="5"/>
        <v>2.2624559583021189E-2</v>
      </c>
      <c r="Q31" s="91">
        <f t="shared" si="6"/>
        <v>3.5762438287678541E-2</v>
      </c>
      <c r="R31" s="457">
        <f t="shared" si="7"/>
        <v>1.174870856500348E-2</v>
      </c>
      <c r="S31" s="92">
        <f t="shared" si="8"/>
        <v>1.8453199976059469E-2</v>
      </c>
      <c r="T31" s="3">
        <f t="shared" si="9"/>
        <v>480</v>
      </c>
      <c r="U31" s="94">
        <f t="shared" si="17"/>
        <v>120</v>
      </c>
      <c r="V31" s="88">
        <v>75.965000000000003</v>
      </c>
      <c r="W31" s="89">
        <v>9495.625</v>
      </c>
      <c r="X31" s="88">
        <v>0</v>
      </c>
      <c r="Y31" s="95">
        <v>0</v>
      </c>
      <c r="Z31" s="90">
        <f t="shared" si="10"/>
        <v>9.7956567585985219E-4</v>
      </c>
      <c r="AA31" s="91">
        <f t="shared" si="11"/>
        <v>4.4916038622800879E-3</v>
      </c>
      <c r="AB31" s="92">
        <f t="shared" si="12"/>
        <v>0</v>
      </c>
      <c r="AC31" s="93">
        <f t="shared" si="13"/>
        <v>0</v>
      </c>
      <c r="AD31" s="52">
        <f t="shared" si="14"/>
        <v>480</v>
      </c>
    </row>
    <row r="32" spans="1:30" ht="18.75" x14ac:dyDescent="0.3">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f t="shared" si="4"/>
        <v>500</v>
      </c>
      <c r="K32" s="94">
        <f t="shared" si="16"/>
        <v>125</v>
      </c>
      <c r="L32" s="470">
        <v>522.59209999999996</v>
      </c>
      <c r="M32" s="89">
        <v>66735.721999999994</v>
      </c>
      <c r="N32" s="88">
        <v>411.65730000000002</v>
      </c>
      <c r="O32" s="471">
        <v>51980.504000000001</v>
      </c>
      <c r="P32" s="90">
        <f t="shared" si="5"/>
        <v>7.0552350048511108E-3</v>
      </c>
      <c r="Q32" s="91">
        <f t="shared" si="6"/>
        <v>1.1703129657513217E-2</v>
      </c>
      <c r="R32" s="457">
        <f t="shared" si="7"/>
        <v>5.5575639068453113E-3</v>
      </c>
      <c r="S32" s="92">
        <f t="shared" si="8"/>
        <v>9.1155764820358802E-3</v>
      </c>
      <c r="T32" s="3">
        <f t="shared" si="9"/>
        <v>500</v>
      </c>
      <c r="U32" s="94">
        <f t="shared" si="17"/>
        <v>125</v>
      </c>
      <c r="V32" s="88">
        <v>0</v>
      </c>
      <c r="W32" s="89">
        <v>0</v>
      </c>
      <c r="X32" s="88">
        <v>208.6585</v>
      </c>
      <c r="Y32" s="95">
        <v>26311.376705999999</v>
      </c>
      <c r="Z32" s="90">
        <f t="shared" si="10"/>
        <v>0</v>
      </c>
      <c r="AA32" s="91">
        <f t="shared" si="11"/>
        <v>0</v>
      </c>
      <c r="AB32" s="92">
        <f t="shared" si="12"/>
        <v>2.6906431195471989E-3</v>
      </c>
      <c r="AC32" s="93">
        <f t="shared" si="13"/>
        <v>1.2445761204194135E-2</v>
      </c>
      <c r="AD32" s="52">
        <f t="shared" si="14"/>
        <v>500</v>
      </c>
    </row>
    <row r="33" spans="1:30" ht="18.75" x14ac:dyDescent="0.3">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f t="shared" si="4"/>
        <v>520</v>
      </c>
      <c r="K33" s="94">
        <f t="shared" si="16"/>
        <v>130</v>
      </c>
      <c r="L33" s="470">
        <v>288.9171</v>
      </c>
      <c r="M33" s="89">
        <v>38323.088000000003</v>
      </c>
      <c r="N33" s="88">
        <v>461.54109999999997</v>
      </c>
      <c r="O33" s="471">
        <v>61572.883000000002</v>
      </c>
      <c r="P33" s="90">
        <f t="shared" si="5"/>
        <v>3.9005144498358646E-3</v>
      </c>
      <c r="Q33" s="91">
        <f t="shared" si="6"/>
        <v>6.72053967948813E-3</v>
      </c>
      <c r="R33" s="457">
        <f t="shared" si="7"/>
        <v>6.2310182739032738E-3</v>
      </c>
      <c r="S33" s="92">
        <f t="shared" si="8"/>
        <v>1.079774686690123E-2</v>
      </c>
      <c r="T33" s="3">
        <f t="shared" si="9"/>
        <v>520</v>
      </c>
      <c r="U33" s="94">
        <f t="shared" si="17"/>
        <v>130</v>
      </c>
      <c r="V33" s="88">
        <v>0</v>
      </c>
      <c r="W33" s="89">
        <v>0</v>
      </c>
      <c r="X33" s="88">
        <v>81.903700000000001</v>
      </c>
      <c r="Y33" s="95">
        <v>11050.635719999998</v>
      </c>
      <c r="Z33" s="90">
        <f t="shared" si="10"/>
        <v>0</v>
      </c>
      <c r="AA33" s="91">
        <f t="shared" si="11"/>
        <v>0</v>
      </c>
      <c r="AB33" s="92">
        <f t="shared" si="12"/>
        <v>1.0561449778966967E-3</v>
      </c>
      <c r="AC33" s="93">
        <f t="shared" si="13"/>
        <v>5.2271523023078833E-3</v>
      </c>
      <c r="AD33" s="52">
        <f t="shared" si="14"/>
        <v>520</v>
      </c>
    </row>
    <row r="34" spans="1:30" ht="18.75" x14ac:dyDescent="0.3">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f t="shared" si="4"/>
        <v>540</v>
      </c>
      <c r="K34" s="94">
        <f t="shared" si="16"/>
        <v>135</v>
      </c>
      <c r="L34" s="470">
        <v>1425.6043</v>
      </c>
      <c r="M34" s="89">
        <v>196862.63800000001</v>
      </c>
      <c r="N34" s="88">
        <v>497.0958</v>
      </c>
      <c r="O34" s="471">
        <v>67969.755000000005</v>
      </c>
      <c r="P34" s="90">
        <f t="shared" si="5"/>
        <v>1.924631727197228E-2</v>
      </c>
      <c r="Q34" s="91">
        <f t="shared" si="6"/>
        <v>3.4522874829077128E-2</v>
      </c>
      <c r="R34" s="457">
        <f t="shared" si="7"/>
        <v>6.7110231649588027E-3</v>
      </c>
      <c r="S34" s="92">
        <f t="shared" si="8"/>
        <v>1.1919536220113231E-2</v>
      </c>
      <c r="T34" s="3">
        <f t="shared" si="9"/>
        <v>540</v>
      </c>
      <c r="U34" s="94">
        <f t="shared" si="17"/>
        <v>135</v>
      </c>
      <c r="V34" s="88">
        <v>155.62700000000001</v>
      </c>
      <c r="W34" s="89">
        <v>21787.78</v>
      </c>
      <c r="X34" s="88">
        <v>46.326599999999999</v>
      </c>
      <c r="Y34" s="95">
        <v>6399.7418304000003</v>
      </c>
      <c r="Z34" s="90">
        <f t="shared" si="10"/>
        <v>2.0068040207601029E-3</v>
      </c>
      <c r="AA34" s="91">
        <f t="shared" si="11"/>
        <v>1.030601743418773E-2</v>
      </c>
      <c r="AB34" s="92">
        <f t="shared" si="12"/>
        <v>5.9737967800025044E-4</v>
      </c>
      <c r="AC34" s="93">
        <f t="shared" si="13"/>
        <v>3.0271946420609578E-3</v>
      </c>
      <c r="AD34" s="52">
        <f t="shared" si="14"/>
        <v>540</v>
      </c>
    </row>
    <row r="35" spans="1:30" ht="18.75" x14ac:dyDescent="0.3">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f t="shared" si="4"/>
        <v>560</v>
      </c>
      <c r="K35" s="94">
        <f t="shared" si="16"/>
        <v>140</v>
      </c>
      <c r="L35" s="470">
        <v>409.39080000000001</v>
      </c>
      <c r="M35" s="89">
        <v>59155.885000000002</v>
      </c>
      <c r="N35" s="88">
        <v>482.28309999999999</v>
      </c>
      <c r="O35" s="471">
        <v>68504.797999999995</v>
      </c>
      <c r="P35" s="90">
        <f t="shared" si="5"/>
        <v>5.5269651087798697E-3</v>
      </c>
      <c r="Q35" s="91">
        <f t="shared" si="6"/>
        <v>1.0373889296648972E-2</v>
      </c>
      <c r="R35" s="457">
        <f t="shared" si="7"/>
        <v>6.51104486533208E-3</v>
      </c>
      <c r="S35" s="92">
        <f t="shared" si="8"/>
        <v>1.2013364194302897E-2</v>
      </c>
      <c r="T35" s="3">
        <f t="shared" si="9"/>
        <v>560</v>
      </c>
      <c r="U35" s="94">
        <f t="shared" si="17"/>
        <v>140</v>
      </c>
      <c r="V35" s="88">
        <v>0</v>
      </c>
      <c r="W35" s="89">
        <v>0</v>
      </c>
      <c r="X35" s="88">
        <v>10.2363</v>
      </c>
      <c r="Y35" s="95">
        <v>1458.2940068999999</v>
      </c>
      <c r="Z35" s="90">
        <f t="shared" si="10"/>
        <v>0</v>
      </c>
      <c r="AA35" s="91">
        <f t="shared" si="11"/>
        <v>0</v>
      </c>
      <c r="AB35" s="92">
        <f t="shared" si="12"/>
        <v>1.3199668436522351E-4</v>
      </c>
      <c r="AC35" s="93">
        <f t="shared" si="13"/>
        <v>6.8979967024097367E-4</v>
      </c>
      <c r="AD35" s="52">
        <f t="shared" si="14"/>
        <v>560</v>
      </c>
    </row>
    <row r="36" spans="1:30" ht="18.75" x14ac:dyDescent="0.3">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f t="shared" si="4"/>
        <v>580</v>
      </c>
      <c r="K36" s="94">
        <f t="shared" si="16"/>
        <v>145</v>
      </c>
      <c r="L36" s="470">
        <v>1154.4870000000001</v>
      </c>
      <c r="M36" s="89">
        <v>171276.04799999899</v>
      </c>
      <c r="N36" s="88">
        <v>24.398099999999999</v>
      </c>
      <c r="O36" s="471">
        <v>3610.9319999999998</v>
      </c>
      <c r="P36" s="90">
        <f t="shared" si="5"/>
        <v>1.5586108353045417E-2</v>
      </c>
      <c r="Q36" s="91">
        <f t="shared" si="6"/>
        <v>3.0035874894264958E-2</v>
      </c>
      <c r="R36" s="457">
        <f t="shared" si="7"/>
        <v>3.2938563206726221E-4</v>
      </c>
      <c r="S36" s="92">
        <f t="shared" si="8"/>
        <v>6.3323215983882692E-4</v>
      </c>
      <c r="T36" s="3">
        <f t="shared" si="9"/>
        <v>580</v>
      </c>
      <c r="U36" s="94">
        <f t="shared" si="17"/>
        <v>145</v>
      </c>
      <c r="V36" s="88">
        <v>0</v>
      </c>
      <c r="W36" s="89">
        <v>0</v>
      </c>
      <c r="X36" s="88">
        <v>0</v>
      </c>
      <c r="Y36" s="95">
        <v>0</v>
      </c>
      <c r="Z36" s="90">
        <f t="shared" si="10"/>
        <v>0</v>
      </c>
      <c r="AA36" s="91">
        <f t="shared" si="11"/>
        <v>0</v>
      </c>
      <c r="AB36" s="92">
        <f t="shared" si="12"/>
        <v>0</v>
      </c>
      <c r="AC36" s="93">
        <f t="shared" si="13"/>
        <v>0</v>
      </c>
      <c r="AD36" s="52">
        <f t="shared" si="14"/>
        <v>580</v>
      </c>
    </row>
    <row r="37" spans="1:30" ht="18.75" x14ac:dyDescent="0.3">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f t="shared" si="4"/>
        <v>600</v>
      </c>
      <c r="K37" s="94">
        <f t="shared" si="16"/>
        <v>150</v>
      </c>
      <c r="L37" s="470">
        <v>629.95089999999902</v>
      </c>
      <c r="M37" s="89">
        <v>95128.692999999999</v>
      </c>
      <c r="N37" s="88">
        <v>35.081800000000001</v>
      </c>
      <c r="O37" s="471">
        <v>5313.3860000000004</v>
      </c>
      <c r="P37" s="90">
        <f t="shared" si="5"/>
        <v>8.5046284492579487E-3</v>
      </c>
      <c r="Q37" s="91">
        <f t="shared" si="6"/>
        <v>1.6682271427718578E-2</v>
      </c>
      <c r="R37" s="457">
        <f t="shared" si="7"/>
        <v>4.7362052237909019E-4</v>
      </c>
      <c r="S37" s="92">
        <f t="shared" si="8"/>
        <v>9.3178350986321138E-4</v>
      </c>
      <c r="T37" s="3">
        <f t="shared" si="9"/>
        <v>600</v>
      </c>
      <c r="U37" s="94">
        <f t="shared" si="17"/>
        <v>150</v>
      </c>
      <c r="V37" s="88">
        <v>0</v>
      </c>
      <c r="W37" s="89">
        <v>0</v>
      </c>
      <c r="X37" s="88">
        <v>281.0324</v>
      </c>
      <c r="Y37" s="95">
        <v>42846.199703999999</v>
      </c>
      <c r="Z37" s="90">
        <f t="shared" si="10"/>
        <v>0</v>
      </c>
      <c r="AA37" s="91">
        <f t="shared" si="11"/>
        <v>0</v>
      </c>
      <c r="AB37" s="92">
        <f t="shared" si="12"/>
        <v>3.6239017026856619E-3</v>
      </c>
      <c r="AC37" s="93">
        <f t="shared" si="13"/>
        <v>2.0267034141987533E-2</v>
      </c>
      <c r="AD37" s="52">
        <f t="shared" si="14"/>
        <v>600</v>
      </c>
    </row>
    <row r="38" spans="1:30" ht="18.75" x14ac:dyDescent="0.3">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f t="shared" si="4"/>
        <v>620</v>
      </c>
      <c r="K38" s="94">
        <f t="shared" si="16"/>
        <v>155</v>
      </c>
      <c r="L38" s="470">
        <v>274.59449999999998</v>
      </c>
      <c r="M38" s="89">
        <v>43350.593999999997</v>
      </c>
      <c r="N38" s="88">
        <v>70.278300000000002</v>
      </c>
      <c r="O38" s="471">
        <v>11198.953</v>
      </c>
      <c r="P38" s="90">
        <f t="shared" si="5"/>
        <v>3.7071527268391319E-3</v>
      </c>
      <c r="Q38" s="91">
        <f t="shared" si="6"/>
        <v>7.6021897584657066E-3</v>
      </c>
      <c r="R38" s="457">
        <f t="shared" si="7"/>
        <v>9.4878954779727413E-4</v>
      </c>
      <c r="S38" s="92">
        <f t="shared" si="8"/>
        <v>1.9639077102874022E-3</v>
      </c>
      <c r="T38" s="3">
        <f t="shared" si="9"/>
        <v>620</v>
      </c>
      <c r="U38" s="94">
        <f t="shared" si="17"/>
        <v>155</v>
      </c>
      <c r="V38" s="88">
        <v>0</v>
      </c>
      <c r="W38" s="89">
        <v>0</v>
      </c>
      <c r="X38" s="88">
        <v>0</v>
      </c>
      <c r="Y38" s="95">
        <v>0</v>
      </c>
      <c r="Z38" s="90">
        <f t="shared" si="10"/>
        <v>0</v>
      </c>
      <c r="AA38" s="91">
        <f t="shared" si="11"/>
        <v>0</v>
      </c>
      <c r="AB38" s="92">
        <f t="shared" si="12"/>
        <v>0</v>
      </c>
      <c r="AC38" s="93">
        <f t="shared" si="13"/>
        <v>0</v>
      </c>
      <c r="AD38" s="52">
        <f t="shared" si="14"/>
        <v>620</v>
      </c>
    </row>
    <row r="39" spans="1:30" ht="18.75" x14ac:dyDescent="0.3">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f t="shared" si="4"/>
        <v>640</v>
      </c>
      <c r="K39" s="94">
        <f t="shared" si="16"/>
        <v>160</v>
      </c>
      <c r="L39" s="470">
        <v>213.9194</v>
      </c>
      <c r="M39" s="89">
        <v>34938.305</v>
      </c>
      <c r="N39" s="88">
        <v>74.229600000000005</v>
      </c>
      <c r="O39" s="471">
        <v>11941.465</v>
      </c>
      <c r="P39" s="90">
        <f t="shared" si="5"/>
        <v>2.8880108197133995E-3</v>
      </c>
      <c r="Q39" s="91">
        <f t="shared" si="6"/>
        <v>6.1269662060259474E-3</v>
      </c>
      <c r="R39" s="457">
        <f t="shared" si="7"/>
        <v>1.0021339249408785E-3</v>
      </c>
      <c r="S39" s="92">
        <f t="shared" si="8"/>
        <v>2.0941185471201776E-3</v>
      </c>
      <c r="T39" s="3">
        <f t="shared" si="9"/>
        <v>640</v>
      </c>
      <c r="U39" s="94">
        <f t="shared" si="17"/>
        <v>160</v>
      </c>
      <c r="V39" s="88">
        <v>0</v>
      </c>
      <c r="W39" s="89">
        <v>0</v>
      </c>
      <c r="X39" s="88">
        <v>0</v>
      </c>
      <c r="Y39" s="95">
        <v>0</v>
      </c>
      <c r="Z39" s="90">
        <f t="shared" si="10"/>
        <v>0</v>
      </c>
      <c r="AA39" s="91">
        <f t="shared" si="11"/>
        <v>0</v>
      </c>
      <c r="AB39" s="92">
        <f t="shared" si="12"/>
        <v>0</v>
      </c>
      <c r="AC39" s="93">
        <f t="shared" si="13"/>
        <v>0</v>
      </c>
      <c r="AD39" s="52">
        <f t="shared" si="14"/>
        <v>640</v>
      </c>
    </row>
    <row r="40" spans="1:30" ht="18.75" x14ac:dyDescent="0.3">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f t="shared" si="4"/>
        <v>660</v>
      </c>
      <c r="K40" s="94">
        <f t="shared" si="16"/>
        <v>165</v>
      </c>
      <c r="L40" s="470">
        <v>437.8252</v>
      </c>
      <c r="M40" s="89">
        <v>72706.957999999999</v>
      </c>
      <c r="N40" s="88">
        <v>106.1105</v>
      </c>
      <c r="O40" s="471">
        <v>17575.824000000001</v>
      </c>
      <c r="P40" s="90">
        <f t="shared" si="5"/>
        <v>5.9108426572960799E-3</v>
      </c>
      <c r="Q40" s="91">
        <f t="shared" si="6"/>
        <v>1.2750277227499957E-2</v>
      </c>
      <c r="R40" s="457">
        <f t="shared" si="7"/>
        <v>1.4325408171731908E-3</v>
      </c>
      <c r="S40" s="92">
        <f t="shared" si="8"/>
        <v>3.0821895822095487E-3</v>
      </c>
      <c r="T40" s="3">
        <f t="shared" si="9"/>
        <v>660</v>
      </c>
      <c r="U40" s="94">
        <f t="shared" si="17"/>
        <v>165</v>
      </c>
      <c r="V40" s="88">
        <v>0</v>
      </c>
      <c r="W40" s="89">
        <v>0</v>
      </c>
      <c r="X40" s="88">
        <v>0</v>
      </c>
      <c r="Y40" s="95">
        <v>0</v>
      </c>
      <c r="Z40" s="90">
        <f t="shared" si="10"/>
        <v>0</v>
      </c>
      <c r="AA40" s="91">
        <f t="shared" si="11"/>
        <v>0</v>
      </c>
      <c r="AB40" s="92">
        <f t="shared" si="12"/>
        <v>0</v>
      </c>
      <c r="AC40" s="93">
        <f t="shared" si="13"/>
        <v>0</v>
      </c>
      <c r="AD40" s="52">
        <f t="shared" si="14"/>
        <v>660</v>
      </c>
    </row>
    <row r="41" spans="1:30" ht="18.75" x14ac:dyDescent="0.3">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f t="shared" si="4"/>
        <v>680</v>
      </c>
      <c r="K41" s="94">
        <f>+K40+5</f>
        <v>170</v>
      </c>
      <c r="L41" s="470">
        <v>296.6361</v>
      </c>
      <c r="M41" s="89">
        <v>51263.328000000001</v>
      </c>
      <c r="N41" s="88"/>
      <c r="O41" s="471"/>
      <c r="P41" s="90">
        <f t="shared" si="5"/>
        <v>4.0047245192235299E-3</v>
      </c>
      <c r="Q41" s="91">
        <f t="shared" si="6"/>
        <v>8.9898087003483351E-3</v>
      </c>
      <c r="R41" s="457">
        <f t="shared" si="7"/>
        <v>0</v>
      </c>
      <c r="S41" s="92">
        <f t="shared" si="8"/>
        <v>0</v>
      </c>
      <c r="T41" s="3">
        <f t="shared" si="9"/>
        <v>680</v>
      </c>
      <c r="U41" s="94">
        <f>+U40+5</f>
        <v>170</v>
      </c>
      <c r="V41" s="88">
        <v>0</v>
      </c>
      <c r="W41" s="89">
        <v>0</v>
      </c>
      <c r="X41" s="88">
        <v>0</v>
      </c>
      <c r="Y41" s="95">
        <v>0</v>
      </c>
      <c r="Z41" s="90">
        <f t="shared" si="10"/>
        <v>0</v>
      </c>
      <c r="AA41" s="91">
        <f t="shared" si="11"/>
        <v>0</v>
      </c>
      <c r="AB41" s="92">
        <f t="shared" si="12"/>
        <v>0</v>
      </c>
      <c r="AC41" s="93">
        <f t="shared" si="13"/>
        <v>0</v>
      </c>
      <c r="AD41" s="52">
        <f t="shared" si="14"/>
        <v>680</v>
      </c>
    </row>
    <row r="42" spans="1:30" ht="18.75" x14ac:dyDescent="0.3">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f t="shared" si="4"/>
        <v>700</v>
      </c>
      <c r="K42" s="94">
        <f>+K41+5</f>
        <v>175</v>
      </c>
      <c r="L42" s="470">
        <v>147.60910000000001</v>
      </c>
      <c r="M42" s="89">
        <v>26569.651999999998</v>
      </c>
      <c r="N42" s="88">
        <v>295.5718</v>
      </c>
      <c r="O42" s="471">
        <v>53202.94</v>
      </c>
      <c r="P42" s="90">
        <f t="shared" si="5"/>
        <v>1.9927911067820739E-3</v>
      </c>
      <c r="Q42" s="91">
        <f t="shared" si="6"/>
        <v>4.6593948936523889E-3</v>
      </c>
      <c r="R42" s="457">
        <f t="shared" si="7"/>
        <v>3.990355977074379E-3</v>
      </c>
      <c r="S42" s="92">
        <f t="shared" si="8"/>
        <v>9.3299493332955376E-3</v>
      </c>
      <c r="T42" s="3">
        <f t="shared" si="9"/>
        <v>700</v>
      </c>
      <c r="U42" s="94">
        <f>+U41+5</f>
        <v>175</v>
      </c>
      <c r="V42" s="88">
        <v>0</v>
      </c>
      <c r="W42" s="89">
        <v>0</v>
      </c>
      <c r="X42" s="88">
        <v>37.982500000000002</v>
      </c>
      <c r="Y42" s="95">
        <v>6677.3235000000004</v>
      </c>
      <c r="Z42" s="90">
        <f t="shared" si="10"/>
        <v>0</v>
      </c>
      <c r="AA42" s="91">
        <f t="shared" si="11"/>
        <v>0</v>
      </c>
      <c r="AB42" s="92">
        <f t="shared" si="12"/>
        <v>4.897828379299261E-4</v>
      </c>
      <c r="AC42" s="93">
        <f t="shared" si="13"/>
        <v>3.1584958359553582E-3</v>
      </c>
      <c r="AD42" s="52">
        <f t="shared" si="14"/>
        <v>700</v>
      </c>
    </row>
    <row r="43" spans="1:30" ht="18.75" x14ac:dyDescent="0.3">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f t="shared" si="4"/>
        <v>720</v>
      </c>
      <c r="K43" s="94">
        <f>+K42+5</f>
        <v>180</v>
      </c>
      <c r="L43" s="470">
        <v>133.2072</v>
      </c>
      <c r="M43" s="89">
        <v>24286.657999999999</v>
      </c>
      <c r="N43" s="88">
        <v>44.600900000000003</v>
      </c>
      <c r="O43" s="471">
        <v>8171.0789999999997</v>
      </c>
      <c r="P43" s="90">
        <f t="shared" si="5"/>
        <v>1.7983587971157676E-3</v>
      </c>
      <c r="Q43" s="91">
        <f t="shared" si="6"/>
        <v>4.2590369745558552E-3</v>
      </c>
      <c r="R43" s="457">
        <f t="shared" si="7"/>
        <v>6.0213277416146162E-4</v>
      </c>
      <c r="S43" s="92">
        <f t="shared" si="8"/>
        <v>1.4329236893366262E-3</v>
      </c>
      <c r="T43" s="3">
        <f t="shared" si="9"/>
        <v>720</v>
      </c>
      <c r="U43" s="94">
        <f>+U42+5</f>
        <v>180</v>
      </c>
      <c r="V43" s="88">
        <v>0</v>
      </c>
      <c r="W43" s="89">
        <v>0</v>
      </c>
      <c r="X43" s="88">
        <v>0</v>
      </c>
      <c r="Y43" s="95">
        <v>0</v>
      </c>
      <c r="Z43" s="90">
        <f t="shared" si="10"/>
        <v>0</v>
      </c>
      <c r="AA43" s="91">
        <f t="shared" si="11"/>
        <v>0</v>
      </c>
      <c r="AB43" s="92">
        <f t="shared" si="12"/>
        <v>0</v>
      </c>
      <c r="AC43" s="93">
        <f t="shared" si="13"/>
        <v>0</v>
      </c>
      <c r="AD43" s="52">
        <f t="shared" si="14"/>
        <v>720</v>
      </c>
    </row>
    <row r="44" spans="1:30" ht="18.75" x14ac:dyDescent="0.3">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f t="shared" si="4"/>
        <v>740</v>
      </c>
      <c r="K44" s="94">
        <f>+K43+5</f>
        <v>185</v>
      </c>
      <c r="L44" s="470">
        <v>226.9589</v>
      </c>
      <c r="M44" s="89">
        <v>42361.958999999901</v>
      </c>
      <c r="N44" s="88">
        <v>21.688600000000001</v>
      </c>
      <c r="O44" s="471">
        <v>4111.3869999999997</v>
      </c>
      <c r="P44" s="90">
        <f t="shared" si="5"/>
        <v>3.0640500993844013E-3</v>
      </c>
      <c r="Q44" s="91">
        <f t="shared" si="6"/>
        <v>7.4288174888294135E-3</v>
      </c>
      <c r="R44" s="457">
        <f t="shared" si="7"/>
        <v>2.9280612915161524E-4</v>
      </c>
      <c r="S44" s="92">
        <f t="shared" si="8"/>
        <v>7.2099459916256383E-4</v>
      </c>
      <c r="T44" s="3">
        <f t="shared" si="9"/>
        <v>740</v>
      </c>
      <c r="U44" s="94">
        <f>+U43+5</f>
        <v>185</v>
      </c>
      <c r="V44" s="88">
        <v>0</v>
      </c>
      <c r="W44" s="89">
        <v>0</v>
      </c>
      <c r="X44" s="88">
        <v>0</v>
      </c>
      <c r="Y44" s="95">
        <v>0</v>
      </c>
      <c r="Z44" s="90">
        <f t="shared" si="10"/>
        <v>0</v>
      </c>
      <c r="AA44" s="91">
        <f t="shared" si="11"/>
        <v>0</v>
      </c>
      <c r="AB44" s="92">
        <f t="shared" si="12"/>
        <v>0</v>
      </c>
      <c r="AC44" s="93">
        <f t="shared" si="13"/>
        <v>0</v>
      </c>
      <c r="AD44" s="52">
        <f t="shared" si="14"/>
        <v>740</v>
      </c>
    </row>
    <row r="45" spans="1:30" ht="18.75" x14ac:dyDescent="0.3">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f t="shared" si="4"/>
        <v>760</v>
      </c>
      <c r="K45" s="94">
        <v>190</v>
      </c>
      <c r="L45" s="470">
        <v>125.16759999999999</v>
      </c>
      <c r="M45" s="89">
        <v>23965.909</v>
      </c>
      <c r="N45" s="88">
        <v>57.994100000000003</v>
      </c>
      <c r="O45" s="471">
        <v>11086.1539999999</v>
      </c>
      <c r="P45" s="90">
        <f t="shared" si="5"/>
        <v>1.6898204794775925E-3</v>
      </c>
      <c r="Q45" s="91">
        <f t="shared" si="6"/>
        <v>4.2027887311560505E-3</v>
      </c>
      <c r="R45" s="457">
        <f t="shared" si="7"/>
        <v>7.8294716738893657E-4</v>
      </c>
      <c r="S45" s="92">
        <f t="shared" si="8"/>
        <v>1.9441266802381733E-3</v>
      </c>
      <c r="T45" s="3">
        <f t="shared" si="9"/>
        <v>760</v>
      </c>
      <c r="U45" s="94">
        <v>190</v>
      </c>
      <c r="V45" s="88">
        <v>0</v>
      </c>
      <c r="W45" s="89">
        <v>0</v>
      </c>
      <c r="X45" s="88">
        <v>0</v>
      </c>
      <c r="Y45" s="95">
        <v>0</v>
      </c>
      <c r="Z45" s="90">
        <f t="shared" si="10"/>
        <v>0</v>
      </c>
      <c r="AA45" s="91">
        <f t="shared" si="11"/>
        <v>0</v>
      </c>
      <c r="AB45" s="92">
        <f t="shared" si="12"/>
        <v>0</v>
      </c>
      <c r="AC45" s="93">
        <f t="shared" si="13"/>
        <v>0</v>
      </c>
      <c r="AD45" s="52">
        <f t="shared" si="14"/>
        <v>760</v>
      </c>
    </row>
    <row r="46" spans="1:30" ht="18.75" x14ac:dyDescent="0.3">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f t="shared" si="4"/>
        <v>780</v>
      </c>
      <c r="K46" s="94">
        <f>+K45+5</f>
        <v>195</v>
      </c>
      <c r="L46" s="470"/>
      <c r="M46" s="89"/>
      <c r="N46" s="88">
        <v>23.808800000000002</v>
      </c>
      <c r="O46" s="471">
        <v>4761.7839999999997</v>
      </c>
      <c r="P46" s="90">
        <f t="shared" si="5"/>
        <v>0</v>
      </c>
      <c r="Q46" s="91">
        <f t="shared" si="6"/>
        <v>0</v>
      </c>
      <c r="R46" s="457">
        <f t="shared" si="7"/>
        <v>3.2142980956562328E-4</v>
      </c>
      <c r="S46" s="92">
        <f t="shared" si="8"/>
        <v>8.3505166173330559E-4</v>
      </c>
      <c r="T46" s="3">
        <f t="shared" si="9"/>
        <v>780</v>
      </c>
      <c r="U46" s="94">
        <f>+U45+5</f>
        <v>195</v>
      </c>
      <c r="V46" s="88">
        <v>39.219499999999996</v>
      </c>
      <c r="W46" s="89">
        <v>7843.9</v>
      </c>
      <c r="X46" s="88">
        <v>0</v>
      </c>
      <c r="Y46" s="95">
        <v>0</v>
      </c>
      <c r="Z46" s="90">
        <f t="shared" si="10"/>
        <v>5.0573390409248292E-4</v>
      </c>
      <c r="AA46" s="91">
        <f t="shared" si="11"/>
        <v>3.7103078033661591E-3</v>
      </c>
      <c r="AB46" s="92">
        <f t="shared" si="12"/>
        <v>0</v>
      </c>
      <c r="AC46" s="93">
        <f t="shared" si="13"/>
        <v>0</v>
      </c>
      <c r="AD46" s="52">
        <f t="shared" si="14"/>
        <v>780</v>
      </c>
    </row>
    <row r="47" spans="1:30" ht="18.75" x14ac:dyDescent="0.3">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f t="shared" si="4"/>
        <v>800</v>
      </c>
      <c r="K47" s="94">
        <v>200</v>
      </c>
      <c r="L47" s="470">
        <v>830.17509999999902</v>
      </c>
      <c r="M47" s="89">
        <v>185944.334</v>
      </c>
      <c r="N47" s="88">
        <v>392.31180000000001</v>
      </c>
      <c r="O47" s="471">
        <v>86584.358999999997</v>
      </c>
      <c r="P47" s="90">
        <f t="shared" si="5"/>
        <v>1.1207747736094297E-2</v>
      </c>
      <c r="Q47" s="91">
        <f t="shared" si="6"/>
        <v>3.2608183213810787E-2</v>
      </c>
      <c r="R47" s="457">
        <f t="shared" si="7"/>
        <v>5.2963907111801883E-3</v>
      </c>
      <c r="S47" s="92">
        <f t="shared" si="8"/>
        <v>1.5183891764738403E-2</v>
      </c>
      <c r="T47" s="3">
        <f t="shared" si="9"/>
        <v>800</v>
      </c>
      <c r="U47" s="94">
        <v>200</v>
      </c>
      <c r="V47" s="88">
        <v>0</v>
      </c>
      <c r="W47" s="89">
        <v>0</v>
      </c>
      <c r="X47" s="88">
        <v>8.5482999999999993</v>
      </c>
      <c r="Y47" s="95">
        <v>1923.3674999999998</v>
      </c>
      <c r="Z47" s="90">
        <f t="shared" si="10"/>
        <v>0</v>
      </c>
      <c r="AA47" s="91">
        <f t="shared" si="11"/>
        <v>0</v>
      </c>
      <c r="AB47" s="92">
        <f t="shared" si="12"/>
        <v>1.1022999100839563E-4</v>
      </c>
      <c r="AC47" s="93">
        <f t="shared" si="13"/>
        <v>9.0978791723388369E-4</v>
      </c>
      <c r="AD47" s="52">
        <f t="shared" si="14"/>
        <v>800</v>
      </c>
    </row>
    <row r="48" spans="1:30" ht="19.5" thickBot="1" x14ac:dyDescent="0.35">
      <c r="A48" s="467">
        <v>212.5</v>
      </c>
      <c r="B48" s="472">
        <v>0</v>
      </c>
      <c r="C48" s="99">
        <v>0</v>
      </c>
      <c r="D48" s="98">
        <v>0</v>
      </c>
      <c r="E48" s="473">
        <v>0</v>
      </c>
      <c r="F48" s="100">
        <f t="shared" si="0"/>
        <v>0</v>
      </c>
      <c r="G48" s="101">
        <f t="shared" si="1"/>
        <v>0</v>
      </c>
      <c r="H48" s="458">
        <f t="shared" si="2"/>
        <v>0</v>
      </c>
      <c r="I48" s="102">
        <f t="shared" si="3"/>
        <v>0</v>
      </c>
      <c r="J48" s="3">
        <f t="shared" si="4"/>
        <v>850</v>
      </c>
      <c r="K48" s="104">
        <v>212.5</v>
      </c>
      <c r="L48" s="472">
        <v>0</v>
      </c>
      <c r="M48" s="99">
        <v>0</v>
      </c>
      <c r="N48" s="98">
        <v>0</v>
      </c>
      <c r="O48" s="473">
        <v>0</v>
      </c>
      <c r="P48" s="100">
        <f t="shared" si="5"/>
        <v>0</v>
      </c>
      <c r="Q48" s="101">
        <f t="shared" si="6"/>
        <v>0</v>
      </c>
      <c r="R48" s="458">
        <f t="shared" si="7"/>
        <v>0</v>
      </c>
      <c r="S48" s="102">
        <f t="shared" si="8"/>
        <v>0</v>
      </c>
      <c r="T48" s="3">
        <f t="shared" si="9"/>
        <v>850</v>
      </c>
      <c r="U48" s="104">
        <v>212.5</v>
      </c>
      <c r="V48" s="98">
        <v>0</v>
      </c>
      <c r="W48" s="99">
        <v>0</v>
      </c>
      <c r="X48" s="98">
        <v>0</v>
      </c>
      <c r="Y48" s="105">
        <v>0</v>
      </c>
      <c r="Z48" s="100">
        <f t="shared" si="10"/>
        <v>0</v>
      </c>
      <c r="AA48" s="101">
        <f t="shared" si="11"/>
        <v>0</v>
      </c>
      <c r="AB48" s="102">
        <f t="shared" si="12"/>
        <v>0</v>
      </c>
      <c r="AC48" s="103">
        <f t="shared" si="13"/>
        <v>0</v>
      </c>
      <c r="AD48" s="52">
        <f t="shared" si="14"/>
        <v>850</v>
      </c>
    </row>
    <row r="49" spans="1:29" ht="20.25" thickTop="1" thickBot="1" x14ac:dyDescent="0.35">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8.75" x14ac:dyDescent="0.3">
      <c r="A50" s="111"/>
      <c r="B50" s="112"/>
      <c r="C50" s="113" t="s">
        <v>10</v>
      </c>
      <c r="D50" s="114"/>
      <c r="E50" s="113" t="s">
        <v>17</v>
      </c>
      <c r="F50" s="115"/>
      <c r="G50" s="116" t="s">
        <v>378</v>
      </c>
      <c r="H50" s="117">
        <f>(E51*1000)/C51</f>
        <v>114290.39175651137</v>
      </c>
      <c r="I50" s="115"/>
      <c r="J50" s="122">
        <f>SUM(C7:C28,E7:E28)/E51</f>
        <v>0.28193734312603552</v>
      </c>
      <c r="K50" s="111"/>
      <c r="L50" s="112"/>
      <c r="M50" s="113" t="s">
        <v>10</v>
      </c>
      <c r="N50" s="114"/>
      <c r="O50" s="113" t="s">
        <v>17</v>
      </c>
      <c r="P50" s="115"/>
      <c r="Q50" s="116" t="s">
        <v>378</v>
      </c>
      <c r="R50" s="117">
        <f>(O51*1000)/M51</f>
        <v>76984.800905352895</v>
      </c>
      <c r="S50" s="115"/>
      <c r="T50" s="52">
        <f>(AB50-H50)/H50</f>
        <v>-0.76147582411578907</v>
      </c>
      <c r="U50" s="111"/>
      <c r="V50" s="112"/>
      <c r="W50" s="113" t="s">
        <v>10</v>
      </c>
      <c r="X50" s="114"/>
      <c r="Y50" s="113" t="s">
        <v>17</v>
      </c>
      <c r="Z50" s="115"/>
      <c r="AA50" s="116" t="s">
        <v>378</v>
      </c>
      <c r="AB50" s="117">
        <f>(Y51*1000)/W51</f>
        <v>27261.021505205488</v>
      </c>
      <c r="AC50" s="115"/>
    </row>
    <row r="51" spans="1:29" ht="15.75" x14ac:dyDescent="0.25">
      <c r="A51" s="116" t="s">
        <v>18</v>
      </c>
      <c r="C51" s="117">
        <f>B49+D49</f>
        <v>137873.22849999985</v>
      </c>
      <c r="E51" s="117">
        <f>C49+E49</f>
        <v>15757585.297999991</v>
      </c>
      <c r="G51" s="116" t="s">
        <v>377</v>
      </c>
      <c r="H51" s="220">
        <f>H50/OPDAYS_Cls1</f>
        <v>457.16156702604547</v>
      </c>
      <c r="I51" s="118"/>
      <c r="K51" s="116" t="s">
        <v>18</v>
      </c>
      <c r="M51" s="117">
        <f>+L49+N49</f>
        <v>74071.53689999989</v>
      </c>
      <c r="O51" s="117">
        <f>+M49+O49</f>
        <v>5702382.5209999923</v>
      </c>
      <c r="Q51" s="116" t="s">
        <v>377</v>
      </c>
      <c r="R51" s="220">
        <f>R50/OPDAYS_Cls1</f>
        <v>307.93920362141159</v>
      </c>
      <c r="S51" s="118"/>
      <c r="U51" s="116" t="s">
        <v>18</v>
      </c>
      <c r="W51" s="117">
        <f>+V49+X49</f>
        <v>77549.675199999983</v>
      </c>
      <c r="Y51" s="117">
        <f>W49+Y49</f>
        <v>2114083.3633489003</v>
      </c>
      <c r="AA51" s="116" t="s">
        <v>377</v>
      </c>
      <c r="AB51" s="220">
        <f>AB50/OPDAYS_Cls1</f>
        <v>109.04408602082195</v>
      </c>
      <c r="AC51" s="118"/>
    </row>
    <row r="52" spans="1:29" ht="15.75" x14ac:dyDescent="0.25">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4" thickBot="1" x14ac:dyDescent="0.4">
      <c r="A53" s="76" t="s">
        <v>244</v>
      </c>
      <c r="K53" s="76" t="s">
        <v>245</v>
      </c>
      <c r="L53" s="122"/>
      <c r="M53" s="96"/>
      <c r="U53" s="76" t="s">
        <v>157</v>
      </c>
      <c r="V53" s="122"/>
      <c r="W53" s="96"/>
    </row>
    <row r="54" spans="1:29" s="118" customFormat="1" ht="18.75" customHeight="1" x14ac:dyDescent="0.25">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25.5"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5.75" x14ac:dyDescent="0.25">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5.75" x14ac:dyDescent="0.25">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5.75" x14ac:dyDescent="0.25">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6.5" thickBot="1" x14ac:dyDescent="0.3">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6.5" thickTop="1" x14ac:dyDescent="0.25">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5.75" x14ac:dyDescent="0.25">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5.75" x14ac:dyDescent="0.25">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5.75" x14ac:dyDescent="0.25">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5.75" x14ac:dyDescent="0.25">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6.5" thickBot="1" x14ac:dyDescent="0.3">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6.5" thickTop="1" x14ac:dyDescent="0.25">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5.75" x14ac:dyDescent="0.25">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5.75" x14ac:dyDescent="0.25">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5.75" x14ac:dyDescent="0.25">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5.75" x14ac:dyDescent="0.25">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6.5" thickBot="1" x14ac:dyDescent="0.3">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6.5" thickTop="1" x14ac:dyDescent="0.25">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5.75" x14ac:dyDescent="0.25">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5.75" x14ac:dyDescent="0.25">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5.75" x14ac:dyDescent="0.25">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5.75" x14ac:dyDescent="0.25">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6.5" thickBot="1" x14ac:dyDescent="0.3">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6.5" thickTop="1" x14ac:dyDescent="0.25">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5.75" x14ac:dyDescent="0.25">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5.75" x14ac:dyDescent="0.25">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5.75" x14ac:dyDescent="0.25">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5.75" x14ac:dyDescent="0.25">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6.5" thickBot="1" x14ac:dyDescent="0.3">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6.5" thickTop="1" x14ac:dyDescent="0.25">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5.75" x14ac:dyDescent="0.25">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5.75" x14ac:dyDescent="0.25">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5.75" x14ac:dyDescent="0.25">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5.75" x14ac:dyDescent="0.25">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6.5" thickBot="1" x14ac:dyDescent="0.3">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6.5" thickTop="1" x14ac:dyDescent="0.25">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5.75" x14ac:dyDescent="0.25">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5.75" x14ac:dyDescent="0.25">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5.75" x14ac:dyDescent="0.25">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5.75" x14ac:dyDescent="0.25">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6.5" thickBot="1" x14ac:dyDescent="0.3">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6.5" thickTop="1" x14ac:dyDescent="0.25">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5.75" x14ac:dyDescent="0.25">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5.75" x14ac:dyDescent="0.25">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5.75" x14ac:dyDescent="0.25">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5.75" x14ac:dyDescent="0.25">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6.5" thickBot="1" x14ac:dyDescent="0.3">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6.5" thickTop="1" x14ac:dyDescent="0.25">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5.75" x14ac:dyDescent="0.25">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5.75" x14ac:dyDescent="0.25">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5.75" x14ac:dyDescent="0.25">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5.75" x14ac:dyDescent="0.25">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6.5" thickBot="1" x14ac:dyDescent="0.3">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6.5" thickTop="1" x14ac:dyDescent="0.25">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5.75" x14ac:dyDescent="0.25">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5.75" x14ac:dyDescent="0.25">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5.75" x14ac:dyDescent="0.25">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5.75" x14ac:dyDescent="0.25">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6.5" thickBot="1" x14ac:dyDescent="0.3">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6.5" thickTop="1" x14ac:dyDescent="0.25">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5.75" x14ac:dyDescent="0.25">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5.75" x14ac:dyDescent="0.25">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6.5" thickBot="1" x14ac:dyDescent="0.3">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6.5" thickTop="1" x14ac:dyDescent="0.25">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3.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3.25" x14ac:dyDescent="0.35">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47.25" x14ac:dyDescent="0.25">
      <c r="A125" s="153" t="s">
        <v>25</v>
      </c>
      <c r="B125" s="154" t="s">
        <v>26</v>
      </c>
      <c r="C125" s="1064" t="s">
        <v>278</v>
      </c>
      <c r="D125" s="154" t="s">
        <v>27</v>
      </c>
      <c r="E125" s="1064" t="s">
        <v>279</v>
      </c>
      <c r="F125" s="154" t="s">
        <v>285</v>
      </c>
      <c r="G125" s="154" t="s">
        <v>286</v>
      </c>
      <c r="H125" s="154" t="s">
        <v>287</v>
      </c>
      <c r="I125" s="154" t="s">
        <v>288</v>
      </c>
      <c r="J125" s="155" t="s">
        <v>289</v>
      </c>
      <c r="K125" s="153" t="s">
        <v>25</v>
      </c>
      <c r="L125" s="154" t="s">
        <v>26</v>
      </c>
      <c r="M125" s="1064" t="s">
        <v>278</v>
      </c>
      <c r="N125" s="154" t="s">
        <v>27</v>
      </c>
      <c r="O125" s="1064" t="s">
        <v>279</v>
      </c>
      <c r="P125" s="154" t="s">
        <v>280</v>
      </c>
      <c r="Q125" s="154" t="s">
        <v>281</v>
      </c>
      <c r="R125" s="154" t="s">
        <v>282</v>
      </c>
      <c r="S125" s="154" t="s">
        <v>283</v>
      </c>
      <c r="T125" s="155" t="s">
        <v>284</v>
      </c>
      <c r="U125" s="153" t="s">
        <v>25</v>
      </c>
      <c r="V125" s="154" t="s">
        <v>26</v>
      </c>
      <c r="W125" s="1064" t="s">
        <v>278</v>
      </c>
      <c r="X125" s="154" t="s">
        <v>27</v>
      </c>
      <c r="Y125" s="1064" t="s">
        <v>279</v>
      </c>
      <c r="Z125" s="154" t="s">
        <v>158</v>
      </c>
      <c r="AA125" s="154" t="s">
        <v>159</v>
      </c>
      <c r="AB125" s="154" t="s">
        <v>160</v>
      </c>
      <c r="AC125" s="154" t="s">
        <v>161</v>
      </c>
      <c r="AD125" s="155" t="s">
        <v>162</v>
      </c>
    </row>
    <row r="126" spans="1:30" s="160" customFormat="1" ht="18.75" x14ac:dyDescent="0.3">
      <c r="A126" s="156" t="s">
        <v>174</v>
      </c>
      <c r="B126" s="157">
        <f>IF(SUM(B7:B10)=0,1000*($A11+$A7)/2,1000*SUM(C7:C10)/SUM(B7:B10))</f>
        <v>12910.741902308606</v>
      </c>
      <c r="C126" s="1061">
        <f t="shared" ref="C126:C136" si="21">B126/OPDAYS_Cls1</f>
        <v>51.642967609234425</v>
      </c>
      <c r="D126" s="157">
        <f>IF(SUM(D7:D10)=0,1000*($A11+$A7)/2,1000*SUM(E7:E10)/SUM(D7:D10))</f>
        <v>11981.137158378011</v>
      </c>
      <c r="E126" s="1061">
        <f t="shared" ref="E126:E136" si="22">D126/OPDAYS_Cls1</f>
        <v>47.924548633512046</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61">
        <f t="shared" ref="M126:M136" si="23">L126/OPDAYS_Cls2</f>
        <v>49.332453271995263</v>
      </c>
      <c r="N126" s="157">
        <f>IF(SUM(N7:N10)=0,1000*($A11+$A7)/2,1000*SUM(O7:O10)/SUM(N7:N10))</f>
        <v>13578.656537381032</v>
      </c>
      <c r="O126" s="1061">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61">
        <f t="shared" ref="W126:W136" si="25">V126/OPDAYS_Cls3</f>
        <v>49.202805162026571</v>
      </c>
      <c r="X126" s="157">
        <f>IF(SUM(X7:X10)=0,1000*($A11+$A7)/2,1000*SUM(Y7:Y10)/SUM(X7:X10))</f>
        <v>11455.131977377026</v>
      </c>
      <c r="Y126" s="1061">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8.75" x14ac:dyDescent="0.3">
      <c r="A127" s="161" t="s">
        <v>175</v>
      </c>
      <c r="B127" s="162">
        <f>IF(SUM(B11:B14)=0,1000*($A11+$A15)/2,1000*SUM(C11:C14)/SUM(B11:B14))</f>
        <v>27744.333544620586</v>
      </c>
      <c r="C127" s="1062">
        <f t="shared" si="21"/>
        <v>110.97733417848234</v>
      </c>
      <c r="D127" s="162">
        <f>IF(SUM(D11:D14)=0,1000*($A11+$A15)/2,1000*SUM(E11:E14)/SUM(D11:D14))</f>
        <v>28140.973034656869</v>
      </c>
      <c r="E127" s="1062">
        <f t="shared" si="22"/>
        <v>112.56389213862748</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2">
        <f t="shared" si="23"/>
        <v>120.11441047790339</v>
      </c>
      <c r="N127" s="162">
        <f>IF(SUM(N11:N14)=0,1000*($A11+$A15)/2,1000*SUM(O11:O14)/SUM(N11:N14))</f>
        <v>31655.779111861659</v>
      </c>
      <c r="O127" s="1062">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2">
        <f t="shared" si="25"/>
        <v>115.99623692884222</v>
      </c>
      <c r="X127" s="162">
        <f>IF(SUM(X11:X14)=0,1000*($A11+$A15)/2,1000*SUM(Y11:Y14)/SUM(X11:X14))</f>
        <v>28726.510858795609</v>
      </c>
      <c r="Y127" s="1062">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8.75" x14ac:dyDescent="0.3">
      <c r="A128" s="161" t="s">
        <v>176</v>
      </c>
      <c r="B128" s="162">
        <f>IF(SUM(B15:B18)=0,1000*($A15+$A19)/2,1000*SUM(C15:C18)/SUM(B15:B18))</f>
        <v>51100.561458878678</v>
      </c>
      <c r="C128" s="1062">
        <f t="shared" si="21"/>
        <v>204.40224583551472</v>
      </c>
      <c r="D128" s="162">
        <f>IF(SUM(D15:D18)=0,1000*($A15+$A19)/2,1000*SUM(E15:E18)/SUM(D15:D18))</f>
        <v>53668.200550595066</v>
      </c>
      <c r="E128" s="1062">
        <f t="shared" si="22"/>
        <v>214.67280220238027</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2">
        <f t="shared" si="23"/>
        <v>200.99157969807086</v>
      </c>
      <c r="N128" s="162">
        <f>IF(SUM(N15:N18)=0,1000*($A15+$A19)/2,1000*SUM(O15:O18)/SUM(N15:N18))</f>
        <v>51742.06587894004</v>
      </c>
      <c r="O128" s="1062">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2">
        <f t="shared" si="25"/>
        <v>190.94140758026836</v>
      </c>
      <c r="X128" s="162">
        <f>IF(SUM(X15:X18)=0,1000*($A15+$A19)/2,1000*SUM(Y15:Y18)/SUM(X15:X18))</f>
        <v>49073.514839852294</v>
      </c>
      <c r="Y128" s="1062">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8.75" x14ac:dyDescent="0.3">
      <c r="A129" s="161" t="s">
        <v>177</v>
      </c>
      <c r="B129" s="162">
        <f>IF(SUM(B19:B22)=0,1000*($A19+$A23)/2,1000*SUM(C19:C22)/SUM(B19:B22))</f>
        <v>72561.526432118029</v>
      </c>
      <c r="C129" s="1062">
        <f t="shared" si="21"/>
        <v>290.24610572847212</v>
      </c>
      <c r="D129" s="162">
        <f>IF(SUM(D19:D22)=0,1000*($A19+$A23)/2,1000*SUM(E19:E22)/SUM(D19:D22))</f>
        <v>72075.466860657005</v>
      </c>
      <c r="E129" s="1062">
        <f t="shared" si="22"/>
        <v>288.30186744262801</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2">
        <f t="shared" si="23"/>
        <v>280.98421424125928</v>
      </c>
      <c r="N129" s="162">
        <f>IF(SUM(N19:N22)=0,1000*($A19+$A23)/2,1000*SUM(O19:O22)/SUM(N19:N22))</f>
        <v>71616.500328747949</v>
      </c>
      <c r="O129" s="1062">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2">
        <f t="shared" si="25"/>
        <v>282.72824571583544</v>
      </c>
      <c r="X129" s="162">
        <f>IF(SUM(X19:X22)=0,1000*($A19+$A23)/2,1000*SUM(Y19:Y22)/SUM(X19:X22))</f>
        <v>71616.08895539795</v>
      </c>
      <c r="Y129" s="1062">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8.75" x14ac:dyDescent="0.3">
      <c r="A130" s="161" t="s">
        <v>178</v>
      </c>
      <c r="B130" s="162">
        <f>IF(SUM(B23:B26)=0,1000*($A23+$A27)/2,1000*SUM(C23:C26)/SUM(B23:B26))</f>
        <v>91189.376048162099</v>
      </c>
      <c r="C130" s="1062">
        <f t="shared" si="21"/>
        <v>364.75750419264841</v>
      </c>
      <c r="D130" s="162">
        <f>IF(SUM(D23:D26)=0,1000*($A23+$A27)/2,1000*SUM(E23:E26)/SUM(D23:D26))</f>
        <v>92150.223026373118</v>
      </c>
      <c r="E130" s="1062">
        <f t="shared" si="22"/>
        <v>368.60089210549245</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2">
        <f t="shared" si="23"/>
        <v>358.20644524895255</v>
      </c>
      <c r="N130" s="162">
        <f>IF(SUM(N23:N26)=0,1000*($A23+$A27)/2,1000*SUM(O23:O26)/SUM(N23:N26))</f>
        <v>89740.972704267871</v>
      </c>
      <c r="O130" s="1062">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2">
        <f t="shared" si="25"/>
        <v>349.10577157713089</v>
      </c>
      <c r="X130" s="162">
        <f>IF(SUM(X23:X26)=0,1000*($A23+$A27)/2,1000*SUM(Y23:Y26)/SUM(X23:X26))</f>
        <v>88060.84854827018</v>
      </c>
      <c r="Y130" s="1062">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8.75" x14ac:dyDescent="0.3">
      <c r="A131" s="161" t="s">
        <v>179</v>
      </c>
      <c r="B131" s="162">
        <f>IF(SUM(B27:B30)=0,1000*($A27+$A31)/2,1000*SUM(C27:C30)/SUM(B27:B30))</f>
        <v>110907.81722277345</v>
      </c>
      <c r="C131" s="1062">
        <f t="shared" si="21"/>
        <v>443.63126889109378</v>
      </c>
      <c r="D131" s="162">
        <f>IF(SUM(D27:D30)=0,1000*($A27+$A31)/2,1000*SUM(E27:E30)/SUM(D27:D30))</f>
        <v>111828.89697483131</v>
      </c>
      <c r="E131" s="1062">
        <f t="shared" si="22"/>
        <v>447.31558789932524</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2">
        <f t="shared" si="23"/>
        <v>432.82805471770689</v>
      </c>
      <c r="N131" s="162">
        <f>IF(SUM(N27:N30)=0,1000*($A27+$A31)/2,1000*SUM(O27:O30)/SUM(N27:N30))</f>
        <v>112638.86454910832</v>
      </c>
      <c r="O131" s="1062">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2">
        <f t="shared" si="25"/>
        <v>408.92399999999998</v>
      </c>
      <c r="X131" s="162">
        <f>IF(SUM(X27:X30)=0,1000*($A27+$A31)/2,1000*SUM(Y27:Y30)/SUM(X27:X30))</f>
        <v>106769.51106158529</v>
      </c>
      <c r="Y131" s="1062">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8.75" x14ac:dyDescent="0.3">
      <c r="A132" s="161" t="s">
        <v>180</v>
      </c>
      <c r="B132" s="162">
        <f>IF(SUM(B31:B34)=0,1000*($A31+$A35)/2,1000*SUM(C31:C34)/SUM(B31:B34))</f>
        <v>126695.33557343495</v>
      </c>
      <c r="C132" s="1062">
        <f t="shared" si="21"/>
        <v>506.78134229373978</v>
      </c>
      <c r="D132" s="162">
        <f>IF(SUM(D31:D34)=0,1000*($A31+$A35)/2,1000*SUM(E31:E34)/SUM(D31:D34))</f>
        <v>127822.07987524466</v>
      </c>
      <c r="E132" s="1062">
        <f t="shared" si="22"/>
        <v>511.28831950097862</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2">
        <f t="shared" si="23"/>
        <v>517.10615118099815</v>
      </c>
      <c r="N132" s="162">
        <f>IF(SUM(N31:N34)=0,1000*($A31+$A35)/2,1000*SUM(O31:O34)/SUM(N31:N34))</f>
        <v>127982.74620603543</v>
      </c>
      <c r="O132" s="1062">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2">
        <f t="shared" si="25"/>
        <v>540.31926836851005</v>
      </c>
      <c r="X132" s="162">
        <f>IF(SUM(X31:X34)=0,1000*($A31+$A35)/2,1000*SUM(Y31:Y34)/SUM(X31:X34))</f>
        <v>129899.70060269146</v>
      </c>
      <c r="Y132" s="1062">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8.75" x14ac:dyDescent="0.3">
      <c r="A133" s="161" t="s">
        <v>181</v>
      </c>
      <c r="B133" s="162">
        <f>IF(SUM(B35:B38)=0,1000*($A35+$A39)/2,1000*SUM(C35:C38)/SUM(B35:B38))</f>
        <v>148928.20853402285</v>
      </c>
      <c r="C133" s="1062">
        <f t="shared" si="21"/>
        <v>595.71283413609137</v>
      </c>
      <c r="D133" s="162">
        <f>IF(SUM(D35:D38)=0,1000*($A35+$A39)/2,1000*SUM(E35:E38)/SUM(D35:D38))</f>
        <v>148934.3166459057</v>
      </c>
      <c r="E133" s="1062">
        <f t="shared" si="22"/>
        <v>595.73726658362273</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2">
        <f t="shared" si="23"/>
        <v>597.8087063838957</v>
      </c>
      <c r="N133" s="162">
        <f>IF(SUM(N35:N38)=0,1000*($A35+$A39)/2,1000*SUM(O35:O38)/SUM(N35:N38))</f>
        <v>144807.33408023277</v>
      </c>
      <c r="O133" s="1062">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2">
        <f t="shared" si="25"/>
        <v>600</v>
      </c>
      <c r="X133" s="162">
        <f>IF(SUM(X35:X38)=0,1000*($A35+$A39)/2,1000*SUM(Y35:Y38)/SUM(X35:X38))</f>
        <v>152108.66705176356</v>
      </c>
      <c r="Y133" s="1062">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8.75" x14ac:dyDescent="0.3">
      <c r="A134" s="161" t="s">
        <v>182</v>
      </c>
      <c r="B134" s="162">
        <f>IF(SUM(B39:B42)=0,1000*($A39+$A43)/2,1000*SUM(C39:C42)/SUM(B39:B42))</f>
        <v>170557.72479022425</v>
      </c>
      <c r="C134" s="1062">
        <f t="shared" si="21"/>
        <v>682.23089916089702</v>
      </c>
      <c r="D134" s="162">
        <f>IF(SUM(D39:D42)=0,1000*($A39+$A43)/2,1000*SUM(E39:E42)/SUM(D39:D42))</f>
        <v>168027.74798810174</v>
      </c>
      <c r="E134" s="1062">
        <f t="shared" si="22"/>
        <v>672.11099195240695</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2">
        <f t="shared" si="23"/>
        <v>676.93419409560215</v>
      </c>
      <c r="N134" s="162">
        <f>IF(SUM(N39:N42)=0,1000*($A39+$A43)/2,1000*SUM(O39:O42)/SUM(N39:N42))</f>
        <v>173814.16392403719</v>
      </c>
      <c r="O134" s="1062">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2">
        <f t="shared" si="25"/>
        <v>680</v>
      </c>
      <c r="X134" s="162">
        <f>IF(SUM(X39:X42)=0,1000*($A39+$A43)/2,1000*SUM(Y39:Y42)/SUM(X39:X42))</f>
        <v>175800</v>
      </c>
      <c r="Y134" s="1062">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8.75" x14ac:dyDescent="0.3">
      <c r="A135" s="161" t="s">
        <v>183</v>
      </c>
      <c r="B135" s="162">
        <f>IF(SUM(B43:B46)=0,1000*($A43+$A47)/2,1000*SUM(C43:C46)/SUM(B43:B46))</f>
        <v>191316.0970688317</v>
      </c>
      <c r="C135" s="1062">
        <f t="shared" si="21"/>
        <v>765.26438827532684</v>
      </c>
      <c r="D135" s="162">
        <f>IF(SUM(D43:D46)=0,1000*($A43+$A47)/2,1000*SUM(E43:E46)/SUM(D43:D46))</f>
        <v>189269.82544746815</v>
      </c>
      <c r="E135" s="1062">
        <f t="shared" si="22"/>
        <v>757.0793017898726</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2">
        <f t="shared" si="23"/>
        <v>746.82245226325631</v>
      </c>
      <c r="N135" s="162">
        <f>IF(SUM(N43:N46)=0,1000*($A43+$A47)/2,1000*SUM(O43:O46)/SUM(N43:N46))</f>
        <v>189951.70582690198</v>
      </c>
      <c r="O135" s="1062">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2">
        <f t="shared" si="25"/>
        <v>800.00000000000011</v>
      </c>
      <c r="X135" s="162">
        <f>IF(SUM(X43:X46)=0,1000*($A43+$A47)/2,1000*SUM(Y43:Y46)/SUM(X43:X46))</f>
        <v>190000</v>
      </c>
      <c r="Y135" s="1062">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19.5" thickBot="1" x14ac:dyDescent="0.35">
      <c r="A136" s="165" t="s">
        <v>184</v>
      </c>
      <c r="B136" s="166">
        <f>IF(B47=0,200000,1000*C47/B47)</f>
        <v>242569.67756827583</v>
      </c>
      <c r="C136" s="1063">
        <f t="shared" si="21"/>
        <v>970.27871027310334</v>
      </c>
      <c r="D136" s="166">
        <f>IF(D47=0,200000,1000*E47/D47)</f>
        <v>224042.00197938742</v>
      </c>
      <c r="E136" s="1063">
        <f t="shared" si="22"/>
        <v>896.16800791754974</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3">
        <f t="shared" si="23"/>
        <v>895.92826380844349</v>
      </c>
      <c r="N136" s="166">
        <f>IF(N47=0,200000,1000*O47/N47)</f>
        <v>220702.9179341534</v>
      </c>
      <c r="O136" s="1063">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3">
        <f t="shared" si="25"/>
        <v>800</v>
      </c>
      <c r="X136" s="166">
        <f>IF(X47=0,200000,1000*Y47/X47)</f>
        <v>225000</v>
      </c>
      <c r="Y136" s="1063">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6.5" thickTop="1" x14ac:dyDescent="0.25">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3.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45">
      <c r="J139" s="175" t="s">
        <v>40</v>
      </c>
      <c r="K139" s="1633"/>
      <c r="L139" s="1634"/>
      <c r="M139" s="1637" t="s">
        <v>41</v>
      </c>
      <c r="N139" s="1638"/>
      <c r="O139" s="1638"/>
      <c r="P139" s="1638"/>
      <c r="Q139" s="1638"/>
      <c r="R139" s="1638"/>
      <c r="S139" s="1638"/>
      <c r="T139" s="1639"/>
    </row>
    <row r="140" spans="1:30" s="176" customFormat="1" ht="54" customHeight="1" thickBot="1" x14ac:dyDescent="0.45">
      <c r="B140" s="1640" t="s">
        <v>42</v>
      </c>
      <c r="C140" s="1641"/>
      <c r="D140" s="178" t="s">
        <v>10</v>
      </c>
      <c r="E140" s="179" t="s">
        <v>43</v>
      </c>
      <c r="F140" s="179" t="s">
        <v>44</v>
      </c>
      <c r="G140" s="179" t="s">
        <v>45</v>
      </c>
      <c r="H140" s="180" t="s">
        <v>46</v>
      </c>
      <c r="I140" s="181"/>
      <c r="J140" s="55"/>
      <c r="K140" s="1635"/>
      <c r="L140" s="1636"/>
      <c r="M140" s="182" t="s">
        <v>47</v>
      </c>
      <c r="N140" s="183" t="s">
        <v>48</v>
      </c>
      <c r="O140" s="177" t="s">
        <v>47</v>
      </c>
      <c r="P140" s="183" t="s">
        <v>48</v>
      </c>
      <c r="Q140" s="177" t="s">
        <v>47</v>
      </c>
      <c r="R140" s="183" t="s">
        <v>48</v>
      </c>
      <c r="S140" s="177" t="s">
        <v>47</v>
      </c>
      <c r="T140" s="183" t="s">
        <v>48</v>
      </c>
      <c r="U140" s="184"/>
      <c r="V140" s="184"/>
      <c r="W140" s="184"/>
      <c r="X140" s="184"/>
      <c r="Y140" s="184"/>
      <c r="Z140" s="184"/>
      <c r="AA140" s="184"/>
      <c r="AB140" s="184"/>
      <c r="AC140" s="184"/>
      <c r="AD140" s="184"/>
    </row>
    <row r="141" spans="1:30" s="120" customFormat="1" ht="15.75" x14ac:dyDescent="0.25">
      <c r="B141" s="185"/>
      <c r="C141" s="186" t="s">
        <v>163</v>
      </c>
      <c r="D141" s="187">
        <f>+B49</f>
        <v>32726.047499999982</v>
      </c>
      <c r="E141" s="188">
        <f>+D141/$D$153</f>
        <v>0.11304551283324372</v>
      </c>
      <c r="F141" s="187">
        <f>+C49</f>
        <v>3630255.7699999958</v>
      </c>
      <c r="G141" s="189">
        <f>IF(F141=0,0,+F141/D141)</f>
        <v>110.92863475187457</v>
      </c>
      <c r="H141" s="190"/>
      <c r="I141" s="191"/>
      <c r="J141" s="52"/>
      <c r="K141" s="1642"/>
      <c r="L141" s="1643"/>
      <c r="M141" s="1644">
        <v>2007</v>
      </c>
      <c r="N141" s="1645"/>
      <c r="O141" s="1644">
        <v>2010</v>
      </c>
      <c r="P141" s="1645"/>
      <c r="Q141" s="1644">
        <v>2015</v>
      </c>
      <c r="R141" s="1645"/>
      <c r="S141" s="1644">
        <v>2020</v>
      </c>
      <c r="T141" s="1645"/>
    </row>
    <row r="142" spans="1:30" s="120" customFormat="1" ht="16.5" thickBot="1" x14ac:dyDescent="0.3">
      <c r="B142" s="428"/>
      <c r="C142" s="192" t="s">
        <v>164</v>
      </c>
      <c r="D142" s="193">
        <f>+D49</f>
        <v>105147.18099999987</v>
      </c>
      <c r="E142" s="194">
        <f>+D142/$D$153</f>
        <v>0.36320967263507431</v>
      </c>
      <c r="F142" s="193">
        <f>+E49</f>
        <v>12127329.527999995</v>
      </c>
      <c r="G142" s="195">
        <f>IF(F142=0,0,+F142/D142)</f>
        <v>115.33670624988045</v>
      </c>
      <c r="H142" s="196"/>
      <c r="I142" s="191"/>
      <c r="J142" s="52"/>
      <c r="K142" s="1648" t="s">
        <v>165</v>
      </c>
      <c r="L142" s="1649"/>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7.25" thickTop="1" thickBot="1" x14ac:dyDescent="0.3">
      <c r="B143" s="1646" t="s">
        <v>165</v>
      </c>
      <c r="C143" s="1647"/>
      <c r="D143" s="197">
        <f>+D142+D141</f>
        <v>137873.22849999985</v>
      </c>
      <c r="E143" s="198">
        <f>+D143/$D$153</f>
        <v>0.47625518546831802</v>
      </c>
      <c r="F143" s="197">
        <f>+F141+F142</f>
        <v>15757585.297999991</v>
      </c>
      <c r="G143" s="199">
        <f>IF(F143=0,0,+F143/D143)</f>
        <v>114.29039175651137</v>
      </c>
      <c r="H143" s="200">
        <f>F143/F153</f>
        <v>0.66842924773992651</v>
      </c>
      <c r="I143" s="201"/>
      <c r="J143" s="52"/>
      <c r="K143" s="1648" t="s">
        <v>168</v>
      </c>
      <c r="L143" s="1649"/>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6.5" thickBot="1" x14ac:dyDescent="0.3">
      <c r="B144" s="202"/>
      <c r="C144" s="203"/>
      <c r="D144" s="204"/>
      <c r="E144" s="205"/>
      <c r="F144" s="204"/>
      <c r="G144" s="206"/>
      <c r="H144" s="207"/>
      <c r="I144" s="201"/>
      <c r="J144" s="52"/>
      <c r="K144" s="1650" t="s">
        <v>171</v>
      </c>
      <c r="L144" s="1651"/>
      <c r="M144" s="208">
        <v>0</v>
      </c>
      <c r="N144" s="432">
        <v>0</v>
      </c>
      <c r="O144" s="208">
        <v>0</v>
      </c>
      <c r="P144" s="432">
        <v>0</v>
      </c>
      <c r="Q144" s="208">
        <v>0</v>
      </c>
      <c r="R144" s="432">
        <v>0</v>
      </c>
      <c r="S144" s="208">
        <v>0</v>
      </c>
      <c r="T144" s="432">
        <v>0</v>
      </c>
    </row>
    <row r="145" spans="2:30" s="120" customFormat="1" ht="16.5" thickBot="1" x14ac:dyDescent="0.3">
      <c r="B145" s="209"/>
      <c r="C145" s="429" t="s">
        <v>166</v>
      </c>
      <c r="D145" s="197">
        <f>+L49</f>
        <v>43665.595499999908</v>
      </c>
      <c r="E145" s="198">
        <f>+D145/$D$153</f>
        <v>0.15083396907208155</v>
      </c>
      <c r="F145" s="197">
        <f>+M49</f>
        <v>3504237.7709999941</v>
      </c>
      <c r="G145" s="199">
        <f>IF(F145=0,0,+F145/D145)</f>
        <v>80.251688563367964</v>
      </c>
      <c r="H145" s="210"/>
      <c r="I145" s="191"/>
      <c r="J145" s="52"/>
      <c r="K145" s="1652" t="s">
        <v>49</v>
      </c>
      <c r="L145" s="1653"/>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6.5" thickBot="1" x14ac:dyDescent="0.3">
      <c r="B146" s="428"/>
      <c r="C146" s="192" t="s">
        <v>167</v>
      </c>
      <c r="D146" s="193">
        <f>+N49</f>
        <v>30405.941399999985</v>
      </c>
      <c r="E146" s="194">
        <f>+D146/$D$153</f>
        <v>0.10503117551059463</v>
      </c>
      <c r="F146" s="193">
        <f>+O49</f>
        <v>2198144.7499999986</v>
      </c>
      <c r="G146" s="195">
        <f>IF(F146=0,0,+F146/D146)</f>
        <v>72.293264039507747</v>
      </c>
      <c r="H146" s="196"/>
      <c r="I146" s="191"/>
      <c r="J146" s="52"/>
      <c r="K146" s="1655"/>
      <c r="L146" s="1656"/>
      <c r="M146" s="1644">
        <v>2025</v>
      </c>
      <c r="N146" s="1654"/>
      <c r="O146" s="1644">
        <v>2030</v>
      </c>
      <c r="P146" s="1645"/>
      <c r="Q146" s="1644">
        <v>2035</v>
      </c>
      <c r="R146" s="1645"/>
      <c r="S146" s="1644">
        <v>2040</v>
      </c>
      <c r="T146" s="1645"/>
    </row>
    <row r="147" spans="2:30" s="120" customFormat="1" ht="17.25" thickTop="1" thickBot="1" x14ac:dyDescent="0.3">
      <c r="B147" s="1646" t="s">
        <v>168</v>
      </c>
      <c r="C147" s="1647"/>
      <c r="D147" s="197">
        <f>+D146+D145</f>
        <v>74071.53689999989</v>
      </c>
      <c r="E147" s="198">
        <f>+D147/$D$153</f>
        <v>0.25586514458267617</v>
      </c>
      <c r="F147" s="197">
        <f>+F146+F145</f>
        <v>5702382.5209999923</v>
      </c>
      <c r="G147" s="199">
        <f>IF(F147=0,0,+F147/D147)</f>
        <v>76.984800905352898</v>
      </c>
      <c r="H147" s="200">
        <f>F147/F153</f>
        <v>0.24189234497249509</v>
      </c>
      <c r="I147" s="201"/>
      <c r="J147" s="52"/>
      <c r="K147" s="1648" t="s">
        <v>165</v>
      </c>
      <c r="L147" s="1649"/>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6.5" thickBot="1" x14ac:dyDescent="0.3">
      <c r="B148" s="202"/>
      <c r="C148" s="203"/>
      <c r="D148" s="204"/>
      <c r="E148" s="205"/>
      <c r="F148" s="204"/>
      <c r="G148" s="206"/>
      <c r="H148" s="207"/>
      <c r="I148" s="201"/>
      <c r="J148" s="52"/>
      <c r="K148" s="1648" t="s">
        <v>168</v>
      </c>
      <c r="L148" s="1649"/>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6.5" thickBot="1" x14ac:dyDescent="0.3">
      <c r="B149" s="209"/>
      <c r="C149" s="429" t="s">
        <v>169</v>
      </c>
      <c r="D149" s="197">
        <f>+V49</f>
        <v>29850.964499999998</v>
      </c>
      <c r="E149" s="198">
        <f>+D149/$D$153</f>
        <v>0.10311412004365801</v>
      </c>
      <c r="F149" s="197">
        <f>+W49</f>
        <v>844213.30735720019</v>
      </c>
      <c r="G149" s="199">
        <f>IF(F149=0,0,+F149/D149)</f>
        <v>28.280939041591111</v>
      </c>
      <c r="H149" s="210"/>
      <c r="I149" s="191"/>
      <c r="J149" s="52"/>
      <c r="K149" s="1650" t="s">
        <v>171</v>
      </c>
      <c r="L149" s="1651"/>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7.25" thickTop="1" thickBot="1" x14ac:dyDescent="0.3">
      <c r="B150" s="428"/>
      <c r="C150" s="192" t="s">
        <v>170</v>
      </c>
      <c r="D150" s="193">
        <f>+X49</f>
        <v>47698.710699999989</v>
      </c>
      <c r="E150" s="194">
        <f>+D150/$D$153</f>
        <v>0.16476554990534775</v>
      </c>
      <c r="F150" s="213">
        <f>+Y49</f>
        <v>1269870.0559916999</v>
      </c>
      <c r="G150" s="195">
        <f>IF(F150=0,0,+F150/D150)</f>
        <v>26.622733347626944</v>
      </c>
      <c r="H150" s="196"/>
      <c r="I150" s="191"/>
      <c r="J150" s="52"/>
      <c r="K150" s="1652" t="s">
        <v>49</v>
      </c>
      <c r="L150" s="1653"/>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7.25" thickTop="1" thickBot="1" x14ac:dyDescent="0.3">
      <c r="B151" s="1646" t="s">
        <v>171</v>
      </c>
      <c r="C151" s="1647"/>
      <c r="D151" s="197">
        <f>+D150+D149</f>
        <v>77549.675199999983</v>
      </c>
      <c r="E151" s="198">
        <f>+D151/$D$153</f>
        <v>0.26787966994900575</v>
      </c>
      <c r="F151" s="197">
        <f>+F149+F150</f>
        <v>2114083.3633489003</v>
      </c>
      <c r="G151" s="199">
        <f>IF(F151=0,0,+F151/D151)</f>
        <v>27.261021505205488</v>
      </c>
      <c r="H151" s="200">
        <f>F151/F153</f>
        <v>8.967840728757831E-2</v>
      </c>
      <c r="I151" s="201"/>
      <c r="J151" s="52"/>
      <c r="K151" s="1655"/>
      <c r="L151" s="1656"/>
      <c r="M151" s="1644">
        <v>2045</v>
      </c>
      <c r="N151" s="1654"/>
      <c r="O151" s="1644">
        <v>2050</v>
      </c>
      <c r="P151" s="1654"/>
      <c r="Q151" s="52"/>
      <c r="R151" s="52"/>
      <c r="S151" s="52"/>
      <c r="T151" s="52"/>
      <c r="U151" s="52"/>
      <c r="V151" s="52"/>
      <c r="W151" s="52"/>
      <c r="X151" s="52"/>
      <c r="Y151" s="52"/>
      <c r="Z151" s="52"/>
      <c r="AA151" s="52"/>
      <c r="AB151" s="52"/>
      <c r="AC151" s="52"/>
      <c r="AD151" s="52"/>
    </row>
    <row r="152" spans="2:30" s="120" customFormat="1" ht="16.5" thickBot="1" x14ac:dyDescent="0.3">
      <c r="B152" s="202"/>
      <c r="C152" s="203"/>
      <c r="D152" s="204"/>
      <c r="E152" s="205"/>
      <c r="F152" s="204"/>
      <c r="G152" s="206"/>
      <c r="H152" s="207"/>
      <c r="I152" s="201"/>
      <c r="J152" s="52"/>
      <c r="K152" s="1648" t="s">
        <v>165</v>
      </c>
      <c r="L152" s="1649"/>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6.5" thickBot="1" x14ac:dyDescent="0.3">
      <c r="B153" s="1657" t="s">
        <v>49</v>
      </c>
      <c r="C153" s="1658"/>
      <c r="D153" s="214">
        <f>D143+D147+D151</f>
        <v>289494.44059999974</v>
      </c>
      <c r="E153" s="215">
        <f>+D153/$D$153</f>
        <v>1</v>
      </c>
      <c r="F153" s="214">
        <f>F143+F147+F151</f>
        <v>23574051.182348885</v>
      </c>
      <c r="G153" s="216">
        <f>IF(F153=0,0,+F153/D153)</f>
        <v>81.431792380847909</v>
      </c>
      <c r="H153" s="217">
        <f>SUM(H143:H152)</f>
        <v>1</v>
      </c>
      <c r="I153" s="218"/>
      <c r="J153" s="52"/>
      <c r="K153" s="1648" t="s">
        <v>168</v>
      </c>
      <c r="L153" s="1649"/>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6.5" thickBot="1" x14ac:dyDescent="0.3">
      <c r="G154" s="220"/>
      <c r="J154" s="52"/>
      <c r="K154" s="1650" t="s">
        <v>171</v>
      </c>
      <c r="L154" s="1651"/>
      <c r="M154" s="208">
        <v>0</v>
      </c>
      <c r="N154" s="432">
        <v>0</v>
      </c>
      <c r="O154" s="208"/>
      <c r="P154" s="432">
        <v>0</v>
      </c>
      <c r="Q154" s="52"/>
      <c r="R154" s="52"/>
      <c r="S154" s="52"/>
      <c r="T154" s="52"/>
      <c r="U154" s="52"/>
      <c r="V154" s="52"/>
      <c r="W154" s="52"/>
      <c r="X154" s="52"/>
      <c r="Y154" s="52"/>
      <c r="Z154" s="52"/>
      <c r="AA154" s="52"/>
      <c r="AB154" s="52"/>
      <c r="AC154" s="52"/>
      <c r="AD154" s="52"/>
    </row>
    <row r="155" spans="2:30" ht="17.25" thickTop="1" thickBot="1" x14ac:dyDescent="0.3">
      <c r="K155" s="1652" t="s">
        <v>49</v>
      </c>
      <c r="L155" s="1653"/>
      <c r="M155" s="211" t="e">
        <f>SUM(M152:M154)</f>
        <v>#REF!</v>
      </c>
      <c r="N155" s="212" t="e">
        <f>M155/M$155</f>
        <v>#REF!</v>
      </c>
      <c r="O155" s="211" t="e">
        <f>SUM(O152:O154)</f>
        <v>#REF!</v>
      </c>
      <c r="P155" s="212"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407">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409" t="s">
        <v>375</v>
      </c>
      <c r="D11" s="410" t="s">
        <v>110</v>
      </c>
      <c r="E11" s="411" t="s">
        <v>111</v>
      </c>
      <c r="F11" s="411" t="s">
        <v>116</v>
      </c>
      <c r="G11" s="13" t="s">
        <v>64</v>
      </c>
    </row>
    <row r="12" spans="1:12" x14ac:dyDescent="0.25">
      <c r="B12" s="18">
        <v>0</v>
      </c>
      <c r="C12" s="409"/>
      <c r="D12" s="412">
        <f t="shared" ref="D12:G31" si="0">IF($B12&lt;D$8,1,1-WEIBULL(($B12/12)-D$8/12,D$9,D$10,1))</f>
        <v>1</v>
      </c>
      <c r="E12" s="413">
        <f t="shared" si="0"/>
        <v>1</v>
      </c>
      <c r="F12" s="413">
        <f t="shared" si="0"/>
        <v>1</v>
      </c>
      <c r="G12" s="21">
        <f t="shared" si="0"/>
        <v>1</v>
      </c>
    </row>
    <row r="13" spans="1:12" x14ac:dyDescent="0.25">
      <c r="B13" s="18">
        <v>1</v>
      </c>
      <c r="C13" s="409"/>
      <c r="D13" s="412">
        <f t="shared" si="0"/>
        <v>1</v>
      </c>
      <c r="E13" s="413">
        <f t="shared" si="0"/>
        <v>1</v>
      </c>
      <c r="F13" s="413">
        <f t="shared" si="0"/>
        <v>0.99511353784223089</v>
      </c>
      <c r="G13" s="21">
        <f t="shared" si="0"/>
        <v>1</v>
      </c>
    </row>
    <row r="14" spans="1:12" x14ac:dyDescent="0.25">
      <c r="B14" s="18">
        <v>2</v>
      </c>
      <c r="C14" s="409"/>
      <c r="D14" s="412">
        <f t="shared" si="0"/>
        <v>1</v>
      </c>
      <c r="E14" s="413">
        <f t="shared" si="0"/>
        <v>1</v>
      </c>
      <c r="F14" s="413">
        <f t="shared" si="0"/>
        <v>0.98308729447888632</v>
      </c>
      <c r="G14" s="21">
        <f t="shared" si="0"/>
        <v>1</v>
      </c>
    </row>
    <row r="15" spans="1:12" x14ac:dyDescent="0.25">
      <c r="B15" s="18">
        <v>3</v>
      </c>
      <c r="C15" s="409"/>
      <c r="D15" s="412">
        <f t="shared" si="0"/>
        <v>1</v>
      </c>
      <c r="E15" s="413">
        <f t="shared" si="0"/>
        <v>1</v>
      </c>
      <c r="F15" s="413">
        <f t="shared" si="0"/>
        <v>0.96522925875930121</v>
      </c>
      <c r="G15" s="21">
        <f t="shared" si="0"/>
        <v>1</v>
      </c>
    </row>
    <row r="16" spans="1:12" x14ac:dyDescent="0.25">
      <c r="B16" s="18">
        <v>4</v>
      </c>
      <c r="C16" s="409"/>
      <c r="D16" s="412">
        <f t="shared" si="0"/>
        <v>1</v>
      </c>
      <c r="E16" s="413">
        <f t="shared" si="0"/>
        <v>1</v>
      </c>
      <c r="F16" s="413">
        <f t="shared" si="0"/>
        <v>0.94233242615650892</v>
      </c>
      <c r="G16" s="21">
        <f t="shared" si="0"/>
        <v>0.99451324807130903</v>
      </c>
    </row>
    <row r="17" spans="2:7" x14ac:dyDescent="0.25">
      <c r="B17" s="18">
        <v>5</v>
      </c>
      <c r="C17" s="409"/>
      <c r="D17" s="412">
        <f t="shared" si="0"/>
        <v>1</v>
      </c>
      <c r="E17" s="413">
        <f t="shared" si="0"/>
        <v>1</v>
      </c>
      <c r="F17" s="413">
        <f t="shared" si="0"/>
        <v>0.91506768709608055</v>
      </c>
      <c r="G17" s="21">
        <f t="shared" si="0"/>
        <v>0.98102377196290125</v>
      </c>
    </row>
    <row r="18" spans="2:7" x14ac:dyDescent="0.25">
      <c r="B18" s="18">
        <v>6</v>
      </c>
      <c r="C18" s="409"/>
      <c r="D18" s="412">
        <f t="shared" si="0"/>
        <v>1</v>
      </c>
      <c r="E18" s="412">
        <f t="shared" si="0"/>
        <v>1</v>
      </c>
      <c r="F18" s="413">
        <f t="shared" si="0"/>
        <v>0.88405689607151994</v>
      </c>
      <c r="G18" s="21">
        <f t="shared" si="0"/>
        <v>0.9610304919278353</v>
      </c>
    </row>
    <row r="19" spans="2:7" x14ac:dyDescent="0.25">
      <c r="B19" s="18">
        <v>7</v>
      </c>
      <c r="C19" s="409"/>
      <c r="D19" s="412">
        <f t="shared" si="0"/>
        <v>1</v>
      </c>
      <c r="E19" s="413">
        <f t="shared" si="0"/>
        <v>0.99672728540702971</v>
      </c>
      <c r="F19" s="413">
        <f t="shared" si="0"/>
        <v>0.849894901833256</v>
      </c>
      <c r="G19" s="21">
        <f t="shared" si="0"/>
        <v>0.93546263434260146</v>
      </c>
    </row>
    <row r="20" spans="2:7" x14ac:dyDescent="0.25">
      <c r="B20" s="18">
        <v>8</v>
      </c>
      <c r="C20" s="409"/>
      <c r="D20" s="412">
        <f t="shared" si="0"/>
        <v>1</v>
      </c>
      <c r="E20" s="413">
        <f t="shared" si="0"/>
        <v>0.98864996001381644</v>
      </c>
      <c r="F20" s="413">
        <f t="shared" si="0"/>
        <v>0.8131554612767673</v>
      </c>
      <c r="G20" s="21">
        <f t="shared" si="0"/>
        <v>0.90511715028610329</v>
      </c>
    </row>
    <row r="21" spans="2:7" x14ac:dyDescent="0.25">
      <c r="B21" s="18">
        <v>9</v>
      </c>
      <c r="C21" s="409"/>
      <c r="D21" s="412">
        <f t="shared" si="0"/>
        <v>1</v>
      </c>
      <c r="E21" s="413">
        <f t="shared" si="0"/>
        <v>0.97659517170432097</v>
      </c>
      <c r="F21" s="413">
        <f t="shared" si="0"/>
        <v>0.77439085187439527</v>
      </c>
      <c r="G21" s="21">
        <f t="shared" si="0"/>
        <v>0.87073765362737432</v>
      </c>
    </row>
    <row r="22" spans="2:7" x14ac:dyDescent="0.25">
      <c r="B22" s="18">
        <v>10</v>
      </c>
      <c r="C22" s="409"/>
      <c r="D22" s="412">
        <f t="shared" si="0"/>
        <v>1</v>
      </c>
      <c r="E22" s="413">
        <f t="shared" si="0"/>
        <v>0.9610304919278353</v>
      </c>
      <c r="F22" s="413">
        <f t="shared" si="0"/>
        <v>0.73412889005897974</v>
      </c>
      <c r="G22" s="21">
        <f t="shared" si="0"/>
        <v>0.83303645025329565</v>
      </c>
    </row>
    <row r="23" spans="2:7" x14ac:dyDescent="0.25">
      <c r="B23" s="18">
        <v>11</v>
      </c>
      <c r="C23" s="409"/>
      <c r="D23" s="412">
        <f t="shared" si="0"/>
        <v>1</v>
      </c>
      <c r="E23" s="413">
        <f t="shared" si="0"/>
        <v>0.94233242615650892</v>
      </c>
      <c r="F23" s="413">
        <f t="shared" si="0"/>
        <v>0.6928690310460901</v>
      </c>
      <c r="G23" s="21">
        <f t="shared" si="0"/>
        <v>0.79269883747074243</v>
      </c>
    </row>
    <row r="24" spans="2:7" x14ac:dyDescent="0.25">
      <c r="B24" s="18">
        <v>12</v>
      </c>
      <c r="C24" s="414">
        <f>C3</f>
        <v>1</v>
      </c>
      <c r="D24" s="412">
        <f t="shared" si="0"/>
        <v>1</v>
      </c>
      <c r="E24" s="413">
        <f t="shared" si="0"/>
        <v>0.92083975837910714</v>
      </c>
      <c r="F24" s="413">
        <f t="shared" si="0"/>
        <v>0.65107840109915838</v>
      </c>
      <c r="G24" s="21">
        <f t="shared" si="0"/>
        <v>0.7503807093706214</v>
      </c>
    </row>
    <row r="25" spans="2:7" x14ac:dyDescent="0.25">
      <c r="B25" s="18">
        <v>13</v>
      </c>
      <c r="C25" s="409"/>
      <c r="D25" s="412">
        <f t="shared" si="0"/>
        <v>0.99964568058937042</v>
      </c>
      <c r="E25" s="413">
        <f t="shared" si="0"/>
        <v>0.89687217424956167</v>
      </c>
      <c r="F25" s="413">
        <f t="shared" si="0"/>
        <v>0.60918822454710841</v>
      </c>
      <c r="G25" s="21">
        <f t="shared" si="0"/>
        <v>0.70670365308621608</v>
      </c>
    </row>
    <row r="26" spans="2:7" x14ac:dyDescent="0.25">
      <c r="B26" s="18">
        <v>14</v>
      </c>
      <c r="C26" s="409"/>
      <c r="D26" s="412">
        <f t="shared" si="0"/>
        <v>0.99799731961111438</v>
      </c>
      <c r="E26" s="413">
        <f t="shared" si="0"/>
        <v>0.87073765362737421</v>
      </c>
      <c r="F26" s="413">
        <f t="shared" si="0"/>
        <v>0.56759090033085191</v>
      </c>
      <c r="G26" s="21">
        <f t="shared" si="0"/>
        <v>0.66224943157372418</v>
      </c>
    </row>
    <row r="27" spans="2:7" x14ac:dyDescent="0.25">
      <c r="B27" s="18">
        <v>15</v>
      </c>
      <c r="C27" s="409"/>
      <c r="D27" s="412">
        <f t="shared" si="0"/>
        <v>0.99449095900190587</v>
      </c>
      <c r="E27" s="413">
        <f t="shared" si="0"/>
        <v>0.84273521299425513</v>
      </c>
      <c r="F27" s="413">
        <f t="shared" si="0"/>
        <v>0.52663785977915145</v>
      </c>
      <c r="G27" s="21">
        <f t="shared" si="0"/>
        <v>0.61755480964169096</v>
      </c>
    </row>
    <row r="28" spans="2:7" x14ac:dyDescent="0.25">
      <c r="B28" s="18">
        <v>16</v>
      </c>
      <c r="C28" s="409"/>
      <c r="D28" s="412">
        <f t="shared" si="0"/>
        <v>0.9887238277478988</v>
      </c>
      <c r="E28" s="413">
        <f t="shared" si="0"/>
        <v>0.8131554612767673</v>
      </c>
      <c r="F28" s="413">
        <f t="shared" si="0"/>
        <v>0.48663825796023608</v>
      </c>
      <c r="G28" s="21">
        <f t="shared" si="0"/>
        <v>0.57310722900849687</v>
      </c>
    </row>
    <row r="29" spans="2:7" x14ac:dyDescent="0.25">
      <c r="B29" s="18">
        <v>17</v>
      </c>
      <c r="C29" s="409"/>
      <c r="D29" s="412">
        <f t="shared" si="0"/>
        <v>0.9803843728316719</v>
      </c>
      <c r="E29" s="413">
        <f t="shared" si="0"/>
        <v>0.78228006940691508</v>
      </c>
      <c r="F29" s="413">
        <f t="shared" si="0"/>
        <v>0.44785849671753875</v>
      </c>
      <c r="G29" s="21">
        <f t="shared" si="0"/>
        <v>0.52934159132599801</v>
      </c>
    </row>
    <row r="30" spans="2:7" x14ac:dyDescent="0.25">
      <c r="B30" s="18">
        <v>18</v>
      </c>
      <c r="C30" s="409"/>
      <c r="D30" s="412">
        <f t="shared" si="0"/>
        <v>0.96923323447634413</v>
      </c>
      <c r="E30" s="412">
        <f t="shared" si="0"/>
        <v>0.7503807093706214</v>
      </c>
      <c r="F30" s="413">
        <f t="shared" si="0"/>
        <v>0.41052253926958016</v>
      </c>
      <c r="G30" s="21">
        <f t="shared" si="0"/>
        <v>0.48663825796023596</v>
      </c>
    </row>
    <row r="31" spans="2:7" x14ac:dyDescent="0.25">
      <c r="B31" s="18">
        <v>19</v>
      </c>
      <c r="C31" s="409"/>
      <c r="D31" s="412">
        <f t="shared" si="0"/>
        <v>0.95509663904843412</v>
      </c>
      <c r="E31" s="413">
        <f t="shared" si="0"/>
        <v>0.71771776988961988</v>
      </c>
      <c r="F31" s="413">
        <f t="shared" si="0"/>
        <v>0.374812949261631</v>
      </c>
      <c r="G31" s="21">
        <f t="shared" si="0"/>
        <v>0.44532227679677683</v>
      </c>
    </row>
    <row r="32" spans="2:7" x14ac:dyDescent="0.25">
      <c r="B32" s="18">
        <v>20</v>
      </c>
      <c r="C32" s="409"/>
      <c r="D32" s="412">
        <f t="shared" ref="D32:G51" si="1">IF($B32&lt;D$8,1,1-WEIBULL(($B32/12)-D$8/12,D$9,D$10,1))</f>
        <v>0.93786428128134647</v>
      </c>
      <c r="E32" s="413">
        <f t="shared" si="1"/>
        <v>0.68453902988131765</v>
      </c>
      <c r="F32" s="413">
        <f t="shared" si="1"/>
        <v>0.34087256868851834</v>
      </c>
      <c r="G32" s="21">
        <f t="shared" si="1"/>
        <v>0.4056637788810421</v>
      </c>
    </row>
    <row r="33" spans="2:7" x14ac:dyDescent="0.25">
      <c r="B33" s="18">
        <v>21</v>
      </c>
      <c r="C33" s="409"/>
      <c r="D33" s="412">
        <f t="shared" si="1"/>
        <v>0.9174888297657835</v>
      </c>
      <c r="E33" s="413">
        <f t="shared" si="1"/>
        <v>0.65107840109915838</v>
      </c>
      <c r="F33" s="413">
        <f t="shared" si="1"/>
        <v>0.30880673745940412</v>
      </c>
      <c r="G33" s="21">
        <f t="shared" si="1"/>
        <v>0.36787944117144233</v>
      </c>
    </row>
    <row r="34" spans="2:7" x14ac:dyDescent="0.25">
      <c r="B34" s="18">
        <v>22</v>
      </c>
      <c r="C34" s="409"/>
      <c r="D34" s="412">
        <f t="shared" si="1"/>
        <v>0.89398570815371281</v>
      </c>
      <c r="E34" s="413">
        <f t="shared" si="1"/>
        <v>0.61755480964169096</v>
      </c>
      <c r="F34" s="413">
        <f t="shared" si="1"/>
        <v>0.27868595134134</v>
      </c>
      <c r="G34" s="21">
        <f t="shared" si="1"/>
        <v>0.33213488060513152</v>
      </c>
    </row>
    <row r="35" spans="2:7" x14ac:dyDescent="0.25">
      <c r="B35" s="18">
        <v>23</v>
      </c>
      <c r="C35" s="409"/>
      <c r="D35" s="412">
        <f t="shared" si="1"/>
        <v>0.86743240787387288</v>
      </c>
      <c r="E35" s="413">
        <f t="shared" si="1"/>
        <v>0.58417125928962133</v>
      </c>
      <c r="F35" s="413">
        <f t="shared" si="1"/>
        <v>0.25054885364370327</v>
      </c>
      <c r="G35" s="21">
        <f t="shared" si="1"/>
        <v>0.29854782574943706</v>
      </c>
    </row>
    <row r="36" spans="2:7" x14ac:dyDescent="0.25">
      <c r="B36" s="18">
        <v>24</v>
      </c>
      <c r="C36" s="414">
        <f>C4</f>
        <v>0.83599999999999997</v>
      </c>
      <c r="D36" s="412">
        <f t="shared" si="1"/>
        <v>0.83796688557875576</v>
      </c>
      <c r="E36" s="413">
        <f t="shared" si="1"/>
        <v>0.55111410145330775</v>
      </c>
      <c r="F36" s="413">
        <f t="shared" si="1"/>
        <v>0.22440545846436388</v>
      </c>
      <c r="G36" s="21">
        <f t="shared" si="1"/>
        <v>0.26719190325625874</v>
      </c>
    </row>
    <row r="37" spans="2:7" x14ac:dyDescent="0.25">
      <c r="B37" s="18">
        <v>25</v>
      </c>
      <c r="C37" s="409"/>
      <c r="D37" s="412">
        <f t="shared" si="1"/>
        <v>0.80578477749724886</v>
      </c>
      <c r="E37" s="413">
        <f t="shared" si="1"/>
        <v>0.51855252354036319</v>
      </c>
      <c r="F37" s="413">
        <f t="shared" si="1"/>
        <v>0.20024050885898936</v>
      </c>
      <c r="G37" s="21">
        <f t="shared" si="1"/>
        <v>0.23810087536176749</v>
      </c>
    </row>
    <row r="38" spans="2:7" x14ac:dyDescent="0.25">
      <c r="B38" s="18">
        <v>26</v>
      </c>
      <c r="C38" s="409"/>
      <c r="D38" s="412">
        <f t="shared" si="1"/>
        <v>0.77113529134046965</v>
      </c>
      <c r="E38" s="413">
        <f t="shared" si="1"/>
        <v>0.48663825796023608</v>
      </c>
      <c r="F38" s="413">
        <f t="shared" si="1"/>
        <v>0.17801688121859338</v>
      </c>
      <c r="G38" s="21">
        <f t="shared" si="1"/>
        <v>0.21127317023397207</v>
      </c>
    </row>
    <row r="39" spans="2:7" x14ac:dyDescent="0.25">
      <c r="B39" s="18">
        <v>27</v>
      </c>
      <c r="C39" s="409"/>
      <c r="D39" s="412">
        <f t="shared" si="1"/>
        <v>0.73431574119168719</v>
      </c>
      <c r="E39" s="413">
        <f t="shared" si="1"/>
        <v>0.45550550673418788</v>
      </c>
      <c r="F39" s="413">
        <f t="shared" si="1"/>
        <v>0.15767895679748034</v>
      </c>
      <c r="G39" s="21">
        <f t="shared" si="1"/>
        <v>0.18667655766055047</v>
      </c>
    </row>
    <row r="40" spans="2:7" x14ac:dyDescent="0.25">
      <c r="B40" s="18">
        <v>28</v>
      </c>
      <c r="C40" s="409"/>
      <c r="D40" s="412">
        <f t="shared" si="1"/>
        <v>0.69566478229732487</v>
      </c>
      <c r="E40" s="413">
        <f t="shared" si="1"/>
        <v>0.42527107116174789</v>
      </c>
      <c r="F40" s="413">
        <f t="shared" si="1"/>
        <v>0.13915589212694768</v>
      </c>
      <c r="G40" s="21">
        <f t="shared" si="1"/>
        <v>0.1642528370875127</v>
      </c>
    </row>
    <row r="41" spans="2:7" x14ac:dyDescent="0.25">
      <c r="B41" s="18">
        <v>29</v>
      </c>
      <c r="C41" s="409"/>
      <c r="D41" s="412">
        <f t="shared" si="1"/>
        <v>0.65555448400571326</v>
      </c>
      <c r="E41" s="413">
        <f t="shared" si="1"/>
        <v>0.39603467182812513</v>
      </c>
      <c r="F41" s="413">
        <f t="shared" si="1"/>
        <v>0.12236473144151083</v>
      </c>
      <c r="G41" s="21">
        <f t="shared" si="1"/>
        <v>0.143922422166186</v>
      </c>
    </row>
    <row r="42" spans="2:7" x14ac:dyDescent="0.25">
      <c r="B42" s="18">
        <v>30</v>
      </c>
      <c r="C42" s="409"/>
      <c r="D42" s="412">
        <f t="shared" si="1"/>
        <v>0.61438145002028</v>
      </c>
      <c r="E42" s="412">
        <f t="shared" si="1"/>
        <v>0.36787944117144233</v>
      </c>
      <c r="F42" s="413">
        <f t="shared" si="1"/>
        <v>0.10721331576175563</v>
      </c>
      <c r="G42" s="21">
        <f t="shared" si="1"/>
        <v>0.12558872465487203</v>
      </c>
    </row>
    <row r="43" spans="2:7" x14ac:dyDescent="0.25">
      <c r="B43" s="18">
        <v>31</v>
      </c>
      <c r="C43" s="409"/>
      <c r="D43" s="412">
        <f t="shared" si="1"/>
        <v>0.57255725386160194</v>
      </c>
      <c r="E43" s="413">
        <f t="shared" si="1"/>
        <v>0.34087256868851834</v>
      </c>
      <c r="F43" s="413">
        <f t="shared" si="1"/>
        <v>9.3602954519502735E-2</v>
      </c>
      <c r="G43" s="21">
        <f t="shared" si="1"/>
        <v>0.10914225979259551</v>
      </c>
    </row>
    <row r="44" spans="2:7" x14ac:dyDescent="0.25">
      <c r="B44" s="18">
        <v>32</v>
      </c>
      <c r="C44" s="409"/>
      <c r="D44" s="412">
        <f t="shared" si="1"/>
        <v>0.53049850169371948</v>
      </c>
      <c r="E44" s="413">
        <f t="shared" si="1"/>
        <v>0.31506607751012794</v>
      </c>
      <c r="F44" s="413">
        <f t="shared" si="1"/>
        <v>8.1430836248249538E-2</v>
      </c>
      <c r="G44" s="21">
        <f t="shared" si="1"/>
        <v>9.4464414295467924E-2</v>
      </c>
    </row>
    <row r="45" spans="2:7" x14ac:dyDescent="0.25">
      <c r="B45" s="18">
        <v>33</v>
      </c>
      <c r="C45" s="409"/>
      <c r="D45" s="412">
        <f t="shared" si="1"/>
        <v>0.48861686235154222</v>
      </c>
      <c r="E45" s="413">
        <f t="shared" si="1"/>
        <v>0.29049771041246508</v>
      </c>
      <c r="F45" s="413">
        <f t="shared" si="1"/>
        <v>7.0592164639350474E-2</v>
      </c>
      <c r="G45" s="21">
        <f t="shared" si="1"/>
        <v>8.1430836248249538E-2</v>
      </c>
    </row>
    <row r="46" spans="2:7" x14ac:dyDescent="0.25">
      <c r="B46" s="18">
        <v>34</v>
      </c>
      <c r="C46" s="409"/>
      <c r="D46" s="412">
        <f t="shared" si="1"/>
        <v>0.44730941399885382</v>
      </c>
      <c r="E46" s="413">
        <f t="shared" si="1"/>
        <v>0.26719190325625874</v>
      </c>
      <c r="F46" s="413">
        <f t="shared" si="1"/>
        <v>6.0982014997255418E-2</v>
      </c>
      <c r="G46" s="21">
        <f t="shared" si="1"/>
        <v>6.9914422850488989E-2</v>
      </c>
    </row>
    <row r="47" spans="2:7" x14ac:dyDescent="0.25">
      <c r="B47" s="18">
        <v>35</v>
      </c>
      <c r="C47" s="409"/>
      <c r="D47" s="412">
        <f t="shared" si="1"/>
        <v>0.406949647740664</v>
      </c>
      <c r="E47" s="413">
        <f t="shared" si="1"/>
        <v>0.24516082427257391</v>
      </c>
      <c r="F47" s="413">
        <f t="shared" si="1"/>
        <v>5.2496913696447711E-2</v>
      </c>
      <c r="G47" s="21">
        <f t="shared" si="1"/>
        <v>5.9787896848882749E-2</v>
      </c>
    </row>
    <row r="48" spans="2:7" x14ac:dyDescent="0.25">
      <c r="B48" s="18">
        <v>36</v>
      </c>
      <c r="C48" s="414">
        <f>C5</f>
        <v>0.219</v>
      </c>
      <c r="D48" s="412">
        <f t="shared" si="1"/>
        <v>0.36787944117144233</v>
      </c>
      <c r="E48" s="413">
        <f t="shared" si="1"/>
        <v>0.22440545846436388</v>
      </c>
      <c r="F48" s="413">
        <f t="shared" si="1"/>
        <v>4.5036149589259722E-2</v>
      </c>
      <c r="G48" s="21">
        <f t="shared" si="1"/>
        <v>5.0925975301708948E-2</v>
      </c>
    </row>
    <row r="49" spans="2:7" x14ac:dyDescent="0.25">
      <c r="B49" s="18">
        <v>37</v>
      </c>
      <c r="C49" s="409"/>
      <c r="D49" s="412">
        <f t="shared" si="1"/>
        <v>0.33040227085122265</v>
      </c>
      <c r="E49" s="413">
        <f t="shared" si="1"/>
        <v>0.20491671758931851</v>
      </c>
      <c r="F49" s="413">
        <f t="shared" si="1"/>
        <v>3.850283143025035E-2</v>
      </c>
      <c r="G49" s="21">
        <f t="shared" si="1"/>
        <v>4.3207144956392884E-2</v>
      </c>
    </row>
    <row r="50" spans="2:7" x14ac:dyDescent="0.25">
      <c r="B50" s="18">
        <v>38</v>
      </c>
      <c r="C50" s="409"/>
      <c r="D50" s="412">
        <f t="shared" si="1"/>
        <v>0.29477787472512929</v>
      </c>
      <c r="E50" s="413">
        <f t="shared" si="1"/>
        <v>0.18667655766055047</v>
      </c>
      <c r="F50" s="413">
        <f t="shared" si="1"/>
        <v>3.2804709305761293E-2</v>
      </c>
      <c r="G50" s="21">
        <f t="shared" si="1"/>
        <v>3.6515066962736542E-2</v>
      </c>
    </row>
    <row r="51" spans="2:7" x14ac:dyDescent="0.25">
      <c r="B51" s="18">
        <v>39</v>
      </c>
      <c r="C51" s="409"/>
      <c r="D51" s="412">
        <f t="shared" si="1"/>
        <v>0.26121850711209382</v>
      </c>
      <c r="E51" s="413">
        <f t="shared" si="1"/>
        <v>0.16965908757950587</v>
      </c>
      <c r="F51" s="413">
        <f t="shared" si="1"/>
        <v>2.7854780858086459E-2</v>
      </c>
      <c r="G51" s="21">
        <f t="shared" si="1"/>
        <v>3.0739639965612686E-2</v>
      </c>
    </row>
    <row r="52" spans="2:7" x14ac:dyDescent="0.25">
      <c r="B52" s="18">
        <v>40</v>
      </c>
      <c r="C52" s="409"/>
      <c r="D52" s="412">
        <f t="shared" ref="D52:G71" si="2">IF($B52&lt;D$8,1,1-WEIBULL(($B52/12)-D$8/12,D$9,D$10,1))</f>
        <v>0.22988685432773637</v>
      </c>
      <c r="E52" s="413">
        <f t="shared" si="2"/>
        <v>0.1538316543371343</v>
      </c>
      <c r="F52" s="413">
        <f t="shared" si="2"/>
        <v>2.3571704870276933E-2</v>
      </c>
      <c r="G52" s="21">
        <f t="shared" si="2"/>
        <v>2.5777754964941835E-2</v>
      </c>
    </row>
    <row r="53" spans="2:7" x14ac:dyDescent="0.25">
      <c r="B53" s="18">
        <v>41</v>
      </c>
      <c r="C53" s="409"/>
      <c r="D53" s="412">
        <f t="shared" si="2"/>
        <v>0.20089560287817543</v>
      </c>
      <c r="E53" s="413">
        <f t="shared" si="2"/>
        <v>0.13915589212694768</v>
      </c>
      <c r="F53" s="413">
        <f t="shared" si="2"/>
        <v>1.9880045646170408E-2</v>
      </c>
      <c r="G53" s="21">
        <f t="shared" si="2"/>
        <v>2.1533777891509898E-2</v>
      </c>
    </row>
    <row r="54" spans="2:7" x14ac:dyDescent="0.25">
      <c r="B54" s="18">
        <v>42</v>
      </c>
      <c r="C54" s="409"/>
      <c r="D54" s="412">
        <f t="shared" si="2"/>
        <v>0.17430857908883035</v>
      </c>
      <c r="E54" s="413">
        <f t="shared" si="2"/>
        <v>0.12558872465487203</v>
      </c>
      <c r="F54" s="413">
        <f t="shared" si="2"/>
        <v>1.6710371707806315E-2</v>
      </c>
      <c r="G54" s="21">
        <f t="shared" si="2"/>
        <v>1.7919796852235992E-2</v>
      </c>
    </row>
    <row r="55" spans="2:7" x14ac:dyDescent="0.25">
      <c r="B55" s="18">
        <v>43</v>
      </c>
      <c r="C55" s="409"/>
      <c r="D55" s="412">
        <f t="shared" si="2"/>
        <v>0.15014331331304309</v>
      </c>
      <c r="E55" s="413">
        <f t="shared" si="2"/>
        <v>0.11308331185949427</v>
      </c>
      <c r="F55" s="413">
        <f t="shared" si="2"/>
        <v>1.3999231770300269E-2</v>
      </c>
      <c r="G55" s="21">
        <f t="shared" si="2"/>
        <v>1.4855670693437961E-2</v>
      </c>
    </row>
    <row r="56" spans="2:7" x14ac:dyDescent="0.25">
      <c r="B56" s="18">
        <v>44</v>
      </c>
      <c r="C56" s="409"/>
      <c r="D56" s="412">
        <f t="shared" si="2"/>
        <v>0.12837482715790938</v>
      </c>
      <c r="E56" s="413">
        <f t="shared" si="2"/>
        <v>0.10158993413238182</v>
      </c>
      <c r="F56" s="413">
        <f t="shared" si="2"/>
        <v>1.1689029872536283E-2</v>
      </c>
      <c r="G56" s="21">
        <f t="shared" si="2"/>
        <v>1.2268914165479594E-2</v>
      </c>
    </row>
    <row r="57" spans="2:7" x14ac:dyDescent="0.25">
      <c r="B57" s="18">
        <v>45</v>
      </c>
      <c r="C57" s="409"/>
      <c r="D57" s="412">
        <f t="shared" si="2"/>
        <v>0.10894040123194071</v>
      </c>
      <c r="E57" s="413">
        <f t="shared" si="2"/>
        <v>9.1056808917926668E-2</v>
      </c>
      <c r="F57" s="413">
        <f t="shared" si="2"/>
        <v>9.7278200649436597E-3</v>
      </c>
      <c r="G57" s="21">
        <f t="shared" si="2"/>
        <v>1.009445279022525E-2</v>
      </c>
    </row>
    <row r="58" spans="2:7" x14ac:dyDescent="0.25">
      <c r="B58" s="18">
        <v>46</v>
      </c>
      <c r="C58" s="409"/>
      <c r="D58" s="412">
        <f t="shared" si="2"/>
        <v>9.1745055453900104E-2</v>
      </c>
      <c r="E58" s="413">
        <f t="shared" si="2"/>
        <v>8.1430836248249538E-2</v>
      </c>
      <c r="F58" s="413">
        <f t="shared" si="2"/>
        <v>8.0690392981475068E-3</v>
      </c>
      <c r="G58" s="21">
        <f t="shared" si="2"/>
        <v>8.2742777618429741E-3</v>
      </c>
    </row>
    <row r="59" spans="2:7" x14ac:dyDescent="0.25">
      <c r="B59" s="18">
        <v>47</v>
      </c>
      <c r="C59" s="409"/>
      <c r="D59" s="412">
        <f t="shared" si="2"/>
        <v>7.6667464508156202E-2</v>
      </c>
      <c r="E59" s="413">
        <f t="shared" si="2"/>
        <v>7.2658271309812839E-2</v>
      </c>
      <c r="F59" s="413">
        <f t="shared" si="2"/>
        <v>6.6711952216890191E-3</v>
      </c>
      <c r="G59" s="21">
        <f t="shared" si="2"/>
        <v>6.7570280577756714E-3</v>
      </c>
    </row>
    <row r="60" spans="2:7" x14ac:dyDescent="0.25">
      <c r="B60" s="18">
        <v>48</v>
      </c>
      <c r="C60" s="414">
        <f>C6</f>
        <v>6.4000000000000001E-2</v>
      </c>
      <c r="D60" s="412">
        <f t="shared" si="2"/>
        <v>6.3566037004625375E-2</v>
      </c>
      <c r="E60" s="413">
        <f t="shared" si="2"/>
        <v>6.4685323529124261E-2</v>
      </c>
      <c r="F60" s="413">
        <f t="shared" si="2"/>
        <v>5.4975235803325084E-3</v>
      </c>
      <c r="G60" s="21">
        <f t="shared" si="2"/>
        <v>5.4975235803325084E-3</v>
      </c>
    </row>
    <row r="61" spans="2:7" x14ac:dyDescent="0.25">
      <c r="B61" s="18">
        <v>49</v>
      </c>
      <c r="D61" s="408">
        <f t="shared" si="2"/>
        <v>5.22849067021115E-2</v>
      </c>
      <c r="E61" s="21">
        <f t="shared" si="2"/>
        <v>5.7458682895245139E-2</v>
      </c>
      <c r="F61" s="21">
        <f t="shared" si="2"/>
        <v>4.5156278627150881E-3</v>
      </c>
      <c r="G61" s="21">
        <f t="shared" si="2"/>
        <v>4.4562697424368469E-3</v>
      </c>
    </row>
    <row r="62" spans="2:7" x14ac:dyDescent="0.25">
      <c r="B62" s="18">
        <v>50</v>
      </c>
      <c r="D62" s="408">
        <f t="shared" si="2"/>
        <v>4.2659615362509729E-2</v>
      </c>
      <c r="E62" s="21">
        <f t="shared" si="2"/>
        <v>5.0925975301708948E-2</v>
      </c>
      <c r="F62" s="21">
        <f t="shared" si="2"/>
        <v>3.6971118752440191E-3</v>
      </c>
      <c r="G62" s="21">
        <f t="shared" si="2"/>
        <v>3.5989505771300001E-3</v>
      </c>
    </row>
    <row r="63" spans="2:7" x14ac:dyDescent="0.25">
      <c r="B63" s="18">
        <v>51</v>
      </c>
      <c r="D63" s="408">
        <f t="shared" si="2"/>
        <v>3.45223064271728E-2</v>
      </c>
      <c r="E63" s="21">
        <f t="shared" si="2"/>
        <v>4.5036149589259722E-2</v>
      </c>
      <c r="F63" s="21">
        <f t="shared" si="2"/>
        <v>3.0172140316164775E-3</v>
      </c>
      <c r="G63" s="21">
        <f t="shared" si="2"/>
        <v>2.8959242852554246E-3</v>
      </c>
    </row>
    <row r="64" spans="2:7" x14ac:dyDescent="0.25">
      <c r="B64" s="18">
        <v>52</v>
      </c>
      <c r="D64" s="408">
        <f t="shared" si="2"/>
        <v>2.7706293458343301E-2</v>
      </c>
      <c r="E64" s="21">
        <f t="shared" si="2"/>
        <v>3.9739799706733026E-2</v>
      </c>
      <c r="F64" s="21">
        <f t="shared" si="2"/>
        <v>2.4544504009351709E-3</v>
      </c>
      <c r="G64" s="21">
        <f t="shared" si="2"/>
        <v>2.3217322092717874E-3</v>
      </c>
    </row>
    <row r="65" spans="2:7" x14ac:dyDescent="0.25">
      <c r="B65" s="18">
        <v>53</v>
      </c>
      <c r="D65" s="408">
        <f t="shared" si="2"/>
        <v>2.2049913865499482E-2</v>
      </c>
      <c r="E65" s="21">
        <f t="shared" si="2"/>
        <v>3.4989425986837186E-2</v>
      </c>
      <c r="F65" s="21">
        <f t="shared" si="2"/>
        <v>1.9902719695228388E-3</v>
      </c>
      <c r="G65" s="21">
        <f t="shared" si="2"/>
        <v>1.8546295800468959E-3</v>
      </c>
    </row>
    <row r="66" spans="2:7" x14ac:dyDescent="0.25">
      <c r="B66" s="18">
        <v>54</v>
      </c>
      <c r="D66" s="408">
        <f t="shared" si="2"/>
        <v>1.7399623775943063E-2</v>
      </c>
      <c r="E66" s="21">
        <f t="shared" si="2"/>
        <v>3.0739639965612686E-2</v>
      </c>
      <c r="F66" s="21">
        <f t="shared" si="2"/>
        <v>1.6087401576061477E-3</v>
      </c>
      <c r="G66" s="21">
        <f t="shared" si="2"/>
        <v>1.4761440542468973E-3</v>
      </c>
    </row>
    <row r="67" spans="2:7" x14ac:dyDescent="0.25">
      <c r="B67" s="18">
        <v>55</v>
      </c>
      <c r="D67" s="408">
        <f t="shared" si="2"/>
        <v>1.3612331396869903E-2</v>
      </c>
      <c r="E67" s="21">
        <f t="shared" si="2"/>
        <v>2.6947317470043308E-2</v>
      </c>
      <c r="F67" s="21">
        <f t="shared" si="2"/>
        <v>1.2962233980006177E-3</v>
      </c>
      <c r="G67" s="21">
        <f t="shared" si="2"/>
        <v>1.170666052133007E-3</v>
      </c>
    </row>
    <row r="68" spans="2:7" x14ac:dyDescent="0.25">
      <c r="B68" s="18">
        <v>56</v>
      </c>
      <c r="D68" s="408">
        <f t="shared" si="2"/>
        <v>1.055700183503927E-2</v>
      </c>
      <c r="E68" s="21">
        <f t="shared" si="2"/>
        <v>2.3571704870276933E-2</v>
      </c>
      <c r="F68" s="21">
        <f t="shared" si="2"/>
        <v>1.0411165287640411E-3</v>
      </c>
      <c r="G68" s="21">
        <f t="shared" si="2"/>
        <v>9.2507321512669272E-4</v>
      </c>
    </row>
    <row r="69" spans="2:7" x14ac:dyDescent="0.25">
      <c r="B69" s="18">
        <v>57</v>
      </c>
      <c r="D69" s="408">
        <f t="shared" si="2"/>
        <v>8.1155947493921632E-3</v>
      </c>
      <c r="E69" s="21">
        <f t="shared" si="2"/>
        <v>2.0574483454742554E-2</v>
      </c>
      <c r="F69" s="21">
        <f t="shared" si="2"/>
        <v>8.3358386900855841E-4</v>
      </c>
      <c r="G69" s="21">
        <f t="shared" si="2"/>
        <v>7.2838991483914484E-4</v>
      </c>
    </row>
    <row r="70" spans="2:7" x14ac:dyDescent="0.25">
      <c r="B70" s="18">
        <v>58</v>
      </c>
      <c r="D70" s="408">
        <f t="shared" si="2"/>
        <v>6.1834167604025714E-3</v>
      </c>
      <c r="E70" s="21">
        <f t="shared" si="2"/>
        <v>1.7919796852235992E-2</v>
      </c>
      <c r="F70" s="21">
        <f t="shared" si="2"/>
        <v>6.653261260685106E-4</v>
      </c>
      <c r="G70" s="21">
        <f t="shared" si="2"/>
        <v>5.7148163822540177E-4</v>
      </c>
    </row>
    <row r="71" spans="2:7" x14ac:dyDescent="0.25">
      <c r="B71" s="18">
        <v>59</v>
      </c>
      <c r="D71" s="408">
        <f t="shared" si="2"/>
        <v>4.6689832182131852E-3</v>
      </c>
      <c r="E71" s="21">
        <f t="shared" si="2"/>
        <v>1.5574246308966644E-2</v>
      </c>
      <c r="F71" s="21">
        <f t="shared" si="2"/>
        <v>5.2937070953729126E-4</v>
      </c>
      <c r="G71" s="21">
        <f t="shared" si="2"/>
        <v>4.4678321991908909E-4</v>
      </c>
    </row>
    <row r="72" spans="2:7" x14ac:dyDescent="0.25">
      <c r="B72" s="18">
        <v>60</v>
      </c>
      <c r="D72" s="408">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408">
        <f t="shared" si="3"/>
        <v>2.589989187540831E-3</v>
      </c>
      <c r="E73" s="21">
        <f t="shared" si="3"/>
        <v>1.1689029872536283E-2</v>
      </c>
      <c r="F73" s="21">
        <f t="shared" si="3"/>
        <v>3.3200850167025564E-4</v>
      </c>
      <c r="G73" s="21">
        <f t="shared" si="3"/>
        <v>2.7019464849964425E-4</v>
      </c>
    </row>
    <row r="74" spans="2:7" x14ac:dyDescent="0.25">
      <c r="B74" s="18">
        <v>62</v>
      </c>
      <c r="D74" s="408">
        <f t="shared" si="3"/>
        <v>1.9023765504646573E-3</v>
      </c>
      <c r="E74" s="21">
        <f t="shared" si="3"/>
        <v>1.009445279022525E-2</v>
      </c>
      <c r="F74" s="21">
        <f t="shared" si="3"/>
        <v>2.6171112129524943E-4</v>
      </c>
      <c r="G74" s="21">
        <f t="shared" si="3"/>
        <v>2.0901276877349773E-4</v>
      </c>
    </row>
    <row r="75" spans="2:7" x14ac:dyDescent="0.25">
      <c r="B75" s="18">
        <v>63</v>
      </c>
      <c r="D75" s="408">
        <f t="shared" si="3"/>
        <v>1.3842482900661146E-3</v>
      </c>
      <c r="E75" s="21">
        <f t="shared" si="3"/>
        <v>8.699025332679633E-3</v>
      </c>
      <c r="F75" s="21">
        <f t="shared" si="3"/>
        <v>2.0566160738733075E-4</v>
      </c>
      <c r="G75" s="21">
        <f t="shared" si="3"/>
        <v>1.6111895453663205E-4</v>
      </c>
    </row>
    <row r="76" spans="2:7" x14ac:dyDescent="0.25">
      <c r="B76" s="18">
        <v>64</v>
      </c>
      <c r="D76" s="408">
        <f t="shared" si="3"/>
        <v>9.9772275358522844E-4</v>
      </c>
      <c r="E76" s="21">
        <f t="shared" si="3"/>
        <v>7.4807501544102983E-3</v>
      </c>
      <c r="F76" s="21">
        <f t="shared" si="3"/>
        <v>1.6111895453663205E-4</v>
      </c>
      <c r="G76" s="21">
        <f t="shared" si="3"/>
        <v>1.2376655487678079E-4</v>
      </c>
    </row>
    <row r="77" spans="2:7" x14ac:dyDescent="0.25">
      <c r="B77" s="18">
        <v>65</v>
      </c>
      <c r="D77" s="408">
        <f t="shared" si="3"/>
        <v>7.122687876760514E-4</v>
      </c>
      <c r="E77" s="21">
        <f t="shared" si="3"/>
        <v>6.4196243623374505E-3</v>
      </c>
      <c r="F77" s="21">
        <f t="shared" si="3"/>
        <v>1.258364949808799E-4</v>
      </c>
      <c r="G77" s="21">
        <f t="shared" si="3"/>
        <v>9.4743151534348868E-5</v>
      </c>
    </row>
    <row r="78" spans="2:7" x14ac:dyDescent="0.25">
      <c r="B78" s="18">
        <v>66</v>
      </c>
      <c r="D78" s="408">
        <f t="shared" si="3"/>
        <v>5.0358904973690777E-4</v>
      </c>
      <c r="E78" s="21">
        <f t="shared" si="3"/>
        <v>5.4975235803325084E-3</v>
      </c>
      <c r="F78" s="21">
        <f t="shared" si="3"/>
        <v>9.7979966796168938E-5</v>
      </c>
      <c r="G78" s="21">
        <f t="shared" si="3"/>
        <v>7.2274503910452204E-5</v>
      </c>
    </row>
    <row r="79" spans="2:7" x14ac:dyDescent="0.25">
      <c r="B79" s="18">
        <v>67</v>
      </c>
      <c r="D79" s="408">
        <f t="shared" si="3"/>
        <v>3.525879905724727E-4</v>
      </c>
      <c r="E79" s="21">
        <f t="shared" si="3"/>
        <v>4.6980825876707932E-3</v>
      </c>
      <c r="F79" s="21">
        <f t="shared" si="3"/>
        <v>7.6057616771540992E-5</v>
      </c>
      <c r="G79" s="21">
        <f t="shared" si="3"/>
        <v>5.4943964787335098E-5</v>
      </c>
    </row>
    <row r="80" spans="2:7" x14ac:dyDescent="0.25">
      <c r="B80" s="18">
        <v>68</v>
      </c>
      <c r="D80" s="408">
        <f t="shared" si="3"/>
        <v>2.4444352404873193E-4</v>
      </c>
      <c r="E80" s="21">
        <f t="shared" si="3"/>
        <v>4.0065746461579455E-3</v>
      </c>
      <c r="F80" s="21">
        <f t="shared" si="3"/>
        <v>5.8860895872037133E-5</v>
      </c>
      <c r="G80" s="21">
        <f t="shared" si="3"/>
        <v>4.1625281087975807E-5</v>
      </c>
    </row>
    <row r="81" spans="2:7" x14ac:dyDescent="0.25">
      <c r="B81" s="18">
        <v>69</v>
      </c>
      <c r="D81" s="408">
        <f t="shared" si="3"/>
        <v>1.677917494864456E-4</v>
      </c>
      <c r="E81" s="21">
        <f t="shared" si="3"/>
        <v>3.4097913183015471E-3</v>
      </c>
      <c r="F81" s="21">
        <f t="shared" si="3"/>
        <v>4.5414408506361248E-5</v>
      </c>
      <c r="G81" s="21">
        <f t="shared" si="3"/>
        <v>3.1426883004725958E-5</v>
      </c>
    </row>
    <row r="82" spans="2:7" x14ac:dyDescent="0.25">
      <c r="B82" s="18">
        <v>70</v>
      </c>
      <c r="D82" s="408">
        <f t="shared" si="3"/>
        <v>1.1402637597712761E-4</v>
      </c>
      <c r="E82" s="21">
        <f t="shared" si="3"/>
        <v>2.8959242852554246E-3</v>
      </c>
      <c r="F82" s="21">
        <f t="shared" si="3"/>
        <v>3.4933889061616874E-5</v>
      </c>
      <c r="G82" s="21">
        <f t="shared" si="3"/>
        <v>2.3645959206675116E-5</v>
      </c>
    </row>
    <row r="83" spans="2:7" x14ac:dyDescent="0.25">
      <c r="B83" s="18">
        <v>71</v>
      </c>
      <c r="D83" s="408">
        <f t="shared" si="3"/>
        <v>7.6708702562489073E-5</v>
      </c>
      <c r="E83" s="21">
        <f t="shared" si="3"/>
        <v>2.4544504009351709E-3</v>
      </c>
      <c r="F83" s="21">
        <f t="shared" si="3"/>
        <v>2.6791095119715891E-5</v>
      </c>
      <c r="G83" s="21">
        <f t="shared" si="3"/>
        <v>1.7730808173022083E-5</v>
      </c>
    </row>
    <row r="84" spans="2:7" x14ac:dyDescent="0.25">
      <c r="B84" s="18">
        <v>72</v>
      </c>
      <c r="D84" s="408">
        <f t="shared" si="3"/>
        <v>5.1079991764568788E-5</v>
      </c>
      <c r="E84" s="21">
        <f t="shared" si="3"/>
        <v>2.0760209694462572E-3</v>
      </c>
      <c r="F84" s="21">
        <f t="shared" si="3"/>
        <v>2.0484622330063651E-5</v>
      </c>
      <c r="G84" s="21">
        <f t="shared" si="3"/>
        <v>1.325014056063889E-5</v>
      </c>
    </row>
    <row r="85" spans="2:7" x14ac:dyDescent="0.25">
      <c r="B85" s="18">
        <v>73</v>
      </c>
      <c r="D85" s="408">
        <f t="shared" si="3"/>
        <v>3.3665607341304415E-5</v>
      </c>
      <c r="E85" s="21">
        <f t="shared" si="3"/>
        <v>1.7523560077112865E-3</v>
      </c>
      <c r="F85" s="21">
        <f t="shared" si="3"/>
        <v>1.5615758009790426E-5</v>
      </c>
      <c r="G85" s="21">
        <f t="shared" si="3"/>
        <v>9.8681811333545255E-6</v>
      </c>
    </row>
    <row r="86" spans="2:7" x14ac:dyDescent="0.25">
      <c r="B86" s="18">
        <v>74</v>
      </c>
      <c r="D86" s="408">
        <f t="shared" si="3"/>
        <v>2.1959095184986843E-5</v>
      </c>
      <c r="E86" s="21">
        <f t="shared" si="3"/>
        <v>1.4761440542468973E-3</v>
      </c>
      <c r="F86" s="21">
        <f t="shared" si="3"/>
        <v>1.1868596933584108E-5</v>
      </c>
      <c r="G86" s="21">
        <f t="shared" si="3"/>
        <v>7.3245787428621867E-6</v>
      </c>
    </row>
    <row r="87" spans="2:7" x14ac:dyDescent="0.25">
      <c r="B87" s="18">
        <v>75</v>
      </c>
      <c r="D87" s="408">
        <f t="shared" si="3"/>
        <v>1.4174181270143471E-5</v>
      </c>
      <c r="E87" s="21">
        <f t="shared" si="3"/>
        <v>1.2409479081468833E-3</v>
      </c>
      <c r="F87" s="21">
        <f t="shared" si="3"/>
        <v>8.9937419665009344E-6</v>
      </c>
      <c r="G87" s="21">
        <f t="shared" si="3"/>
        <v>5.418277854163378E-6</v>
      </c>
    </row>
    <row r="88" spans="2:7" x14ac:dyDescent="0.25">
      <c r="B88" s="18">
        <v>76</v>
      </c>
      <c r="D88" s="408">
        <f t="shared" si="3"/>
        <v>9.0531678970107166E-6</v>
      </c>
      <c r="E88" s="21">
        <f t="shared" si="3"/>
        <v>1.0411165287640411E-3</v>
      </c>
      <c r="F88" s="21">
        <f t="shared" si="3"/>
        <v>6.7950032648367298E-6</v>
      </c>
      <c r="G88" s="21">
        <f t="shared" si="3"/>
        <v>3.9946347010211269E-6</v>
      </c>
    </row>
    <row r="89" spans="2:7" x14ac:dyDescent="0.25">
      <c r="B89" s="18">
        <v>77</v>
      </c>
      <c r="D89" s="408">
        <f t="shared" si="3"/>
        <v>5.7211851592908758E-6</v>
      </c>
      <c r="E89" s="21">
        <f t="shared" si="3"/>
        <v>8.7170319526963524E-4</v>
      </c>
      <c r="F89" s="21">
        <f t="shared" si="3"/>
        <v>5.1185922865792932E-6</v>
      </c>
      <c r="G89" s="21">
        <f t="shared" si="3"/>
        <v>2.9351755189699347E-6</v>
      </c>
    </row>
    <row r="90" spans="2:7" x14ac:dyDescent="0.25">
      <c r="B90" s="18">
        <v>78</v>
      </c>
      <c r="D90" s="408">
        <f t="shared" si="3"/>
        <v>3.5769950249564531E-6</v>
      </c>
      <c r="E90" s="21">
        <f t="shared" si="3"/>
        <v>7.2838991483914484E-4</v>
      </c>
      <c r="F90" s="21">
        <f t="shared" si="3"/>
        <v>3.8443807318655487E-6</v>
      </c>
      <c r="G90" s="21">
        <f t="shared" si="3"/>
        <v>2.1494940882771374E-6</v>
      </c>
    </row>
    <row r="91" spans="2:7" x14ac:dyDescent="0.25">
      <c r="B91" s="18">
        <v>79</v>
      </c>
      <c r="D91" s="408">
        <f t="shared" si="3"/>
        <v>2.2123911661564577E-6</v>
      </c>
      <c r="E91" s="21">
        <f t="shared" si="3"/>
        <v>6.0741797712760004E-4</v>
      </c>
      <c r="F91" s="21">
        <f t="shared" si="3"/>
        <v>2.8788599886198085E-6</v>
      </c>
      <c r="G91" s="21">
        <f t="shared" si="3"/>
        <v>1.5688719796624895E-6</v>
      </c>
    </row>
    <row r="92" spans="2:7" x14ac:dyDescent="0.25">
      <c r="B92" s="18">
        <v>80</v>
      </c>
      <c r="D92" s="408">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408">
        <f t="shared" si="4"/>
        <v>8.1910867733014925E-7</v>
      </c>
      <c r="E93" s="21">
        <f t="shared" si="4"/>
        <v>4.1988458802177941E-4</v>
      </c>
      <c r="F93" s="21">
        <f t="shared" si="4"/>
        <v>1.600209107888162E-6</v>
      </c>
      <c r="G93" s="21">
        <f t="shared" si="4"/>
        <v>8.2747050522691268E-7</v>
      </c>
    </row>
    <row r="94" spans="2:7" x14ac:dyDescent="0.25">
      <c r="B94" s="18">
        <v>82</v>
      </c>
      <c r="D94" s="408">
        <f t="shared" si="4"/>
        <v>4.9023867043640479E-7</v>
      </c>
      <c r="E94" s="21">
        <f t="shared" si="4"/>
        <v>3.4805926261005649E-4</v>
      </c>
      <c r="F94" s="21">
        <f t="shared" si="4"/>
        <v>1.18780502178506E-6</v>
      </c>
      <c r="G94" s="21">
        <f t="shared" si="4"/>
        <v>5.9796227502850741E-7</v>
      </c>
    </row>
    <row r="95" spans="2:7" x14ac:dyDescent="0.25">
      <c r="B95" s="18">
        <v>83</v>
      </c>
      <c r="D95" s="408">
        <f t="shared" si="4"/>
        <v>2.9016488611866009E-7</v>
      </c>
      <c r="E95" s="21">
        <f t="shared" si="4"/>
        <v>2.8794813021293386E-4</v>
      </c>
      <c r="F95" s="21">
        <f t="shared" si="4"/>
        <v>8.7911285406860884E-7</v>
      </c>
      <c r="G95" s="21">
        <f t="shared" si="4"/>
        <v>4.3068438082549676E-7</v>
      </c>
    </row>
    <row r="96" spans="2:7" x14ac:dyDescent="0.25">
      <c r="B96" s="18">
        <v>84</v>
      </c>
      <c r="D96" s="408">
        <f t="shared" si="4"/>
        <v>1.6983180561869204E-7</v>
      </c>
      <c r="E96" s="21">
        <f t="shared" si="4"/>
        <v>2.3774718659497207E-4</v>
      </c>
      <c r="F96" s="21">
        <f t="shared" si="4"/>
        <v>6.4875128347186006E-7</v>
      </c>
      <c r="G96" s="21">
        <f t="shared" si="4"/>
        <v>3.0918053173234483E-7</v>
      </c>
    </row>
    <row r="97" spans="2:7" x14ac:dyDescent="0.25">
      <c r="B97" s="18">
        <v>85</v>
      </c>
      <c r="D97" s="408">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AB27" sqref="AB27"/>
    </sheetView>
  </sheetViews>
  <sheetFormatPr defaultColWidth="9.140625" defaultRowHeight="12.75" x14ac:dyDescent="0.2"/>
  <cols>
    <col min="1" max="7" width="9.140625" style="517"/>
    <col min="8" max="8" width="11.42578125" style="517" customWidth="1"/>
    <col min="9" max="10" width="9.140625" style="517"/>
    <col min="11" max="11" width="10.5703125" style="517" bestFit="1" customWidth="1"/>
    <col min="12" max="13" width="9.140625" style="517"/>
    <col min="14" max="14" width="11.7109375" style="517" bestFit="1" customWidth="1"/>
    <col min="15" max="15" width="9.140625" style="517"/>
    <col min="16" max="16" width="9.140625" style="1238"/>
    <col min="17" max="17" width="11.7109375" style="517" customWidth="1"/>
    <col min="18" max="18" width="12" style="517" customWidth="1"/>
    <col min="19" max="19" width="18" style="517" customWidth="1"/>
    <col min="20" max="20" width="9.140625" style="517"/>
    <col min="21" max="21" width="13" style="517" customWidth="1"/>
    <col min="22" max="22" width="14.140625" style="517" customWidth="1"/>
    <col min="23" max="24" width="9.140625" style="517"/>
    <col min="25" max="25" width="11.140625" style="517" customWidth="1"/>
    <col min="26" max="16384" width="9.140625" style="517"/>
  </cols>
  <sheetData>
    <row r="1" spans="1:31" ht="15.75" thickBot="1" x14ac:dyDescent="0.3">
      <c r="A1" s="1416" t="s">
        <v>300</v>
      </c>
    </row>
    <row r="2" spans="1:31" x14ac:dyDescent="0.2">
      <c r="M2" s="1659" t="s">
        <v>376</v>
      </c>
      <c r="N2" s="1660"/>
    </row>
    <row r="3" spans="1:31" x14ac:dyDescent="0.2">
      <c r="M3" s="1661"/>
      <c r="N3" s="1662"/>
      <c r="P3" s="1238" t="s">
        <v>369</v>
      </c>
    </row>
    <row r="4" spans="1:31" ht="13.5" thickBot="1" x14ac:dyDescent="0.25">
      <c r="M4" s="1234" t="s">
        <v>303</v>
      </c>
      <c r="N4" s="1235">
        <v>4</v>
      </c>
    </row>
    <row r="5" spans="1:31" ht="13.5" thickBot="1" x14ac:dyDescent="0.25">
      <c r="B5" s="1276"/>
      <c r="C5" s="1270" t="str">
        <f t="array" ref="C5:K5">Fuels</f>
        <v>LPG</v>
      </c>
      <c r="D5" s="1270" t="str">
        <v>E85</v>
      </c>
      <c r="E5" s="1270" t="str">
        <v>Gasoline</v>
      </c>
      <c r="F5" s="1270" t="str">
        <v>Jet Fuel</v>
      </c>
      <c r="G5" s="1270" t="str">
        <v>Diesel</v>
      </c>
      <c r="H5" s="1270" t="str">
        <v>Residual Fuel Oil</v>
      </c>
      <c r="I5" s="1270" t="str">
        <v>CNG</v>
      </c>
      <c r="J5" s="1270" t="str">
        <v>Electricity</v>
      </c>
      <c r="K5" s="1271" t="str">
        <v>Hydrogen</v>
      </c>
      <c r="M5" s="1234" t="s">
        <v>304</v>
      </c>
      <c r="N5" s="1235">
        <v>0.5</v>
      </c>
      <c r="P5" s="1239" t="s">
        <v>298</v>
      </c>
      <c r="Q5" s="671" t="s">
        <v>299</v>
      </c>
      <c r="W5" s="1222"/>
    </row>
    <row r="6" spans="1:31" ht="13.5" thickBot="1" x14ac:dyDescent="0.25">
      <c r="B6" s="1267">
        <v>2007</v>
      </c>
      <c r="C6" s="1272">
        <v>1</v>
      </c>
      <c r="D6" s="1273">
        <v>1</v>
      </c>
      <c r="E6" s="1273">
        <v>1</v>
      </c>
      <c r="F6" s="1273">
        <v>1</v>
      </c>
      <c r="G6" s="1273">
        <v>1</v>
      </c>
      <c r="H6" s="1273">
        <v>1</v>
      </c>
      <c r="I6" s="1273">
        <v>1</v>
      </c>
      <c r="J6" s="1417">
        <f>VLOOKUP(Q23/Y23,$M$9:$N$109,2)</f>
        <v>0</v>
      </c>
      <c r="K6" s="1418">
        <f>VLOOKUP(U23/Y23,$M$9:$N$109,2)</f>
        <v>0</v>
      </c>
      <c r="M6" s="1236" t="s">
        <v>305</v>
      </c>
      <c r="N6" s="1237">
        <v>1</v>
      </c>
      <c r="P6" s="1238" t="s">
        <v>341</v>
      </c>
      <c r="Q6" s="517">
        <v>2</v>
      </c>
    </row>
    <row r="7" spans="1:31" x14ac:dyDescent="0.2">
      <c r="B7" s="1267">
        <v>2008</v>
      </c>
      <c r="C7" s="1274">
        <v>1</v>
      </c>
      <c r="D7" s="1265">
        <v>1</v>
      </c>
      <c r="E7" s="1265">
        <v>1</v>
      </c>
      <c r="F7" s="1265">
        <v>1</v>
      </c>
      <c r="G7" s="1265">
        <v>1</v>
      </c>
      <c r="H7" s="1265">
        <v>1</v>
      </c>
      <c r="I7" s="1265">
        <v>1</v>
      </c>
      <c r="J7" s="1419">
        <f t="shared" ref="J7:J49" si="0">VLOOKUP(Q24/Y24,$M$9:$N$109,2)</f>
        <v>0</v>
      </c>
      <c r="K7" s="1420">
        <f t="shared" ref="K7:K49" si="1">VLOOKUP(U24/Y24,$M$9:$N$109,2)</f>
        <v>0</v>
      </c>
      <c r="P7" s="1240" t="s">
        <v>3</v>
      </c>
      <c r="Q7" s="1223" t="s">
        <v>6</v>
      </c>
      <c r="R7" s="1223" t="s">
        <v>294</v>
      </c>
      <c r="S7" s="1223" t="s">
        <v>295</v>
      </c>
      <c r="T7" s="1223" t="s">
        <v>296</v>
      </c>
      <c r="U7" s="1223" t="s">
        <v>209</v>
      </c>
      <c r="V7" s="1223" t="s">
        <v>297</v>
      </c>
      <c r="W7" s="1223" t="s">
        <v>1</v>
      </c>
      <c r="X7" s="1223" t="s">
        <v>50</v>
      </c>
      <c r="Y7" s="601" t="s">
        <v>0</v>
      </c>
      <c r="Z7" s="1464" t="s">
        <v>431</v>
      </c>
      <c r="AD7" s="517" t="s">
        <v>6</v>
      </c>
      <c r="AE7" s="517" t="s">
        <v>209</v>
      </c>
    </row>
    <row r="8" spans="1:31" x14ac:dyDescent="0.2">
      <c r="B8" s="1267">
        <v>2009</v>
      </c>
      <c r="C8" s="1274">
        <v>1</v>
      </c>
      <c r="D8" s="1265">
        <v>1</v>
      </c>
      <c r="E8" s="1265">
        <v>1</v>
      </c>
      <c r="F8" s="1265">
        <v>1</v>
      </c>
      <c r="G8" s="1265">
        <v>1</v>
      </c>
      <c r="H8" s="1265">
        <v>1</v>
      </c>
      <c r="I8" s="1265">
        <v>1</v>
      </c>
      <c r="J8" s="1419">
        <f t="shared" si="0"/>
        <v>0</v>
      </c>
      <c r="K8" s="1420">
        <f t="shared" si="1"/>
        <v>0</v>
      </c>
      <c r="M8" s="517" t="s">
        <v>301</v>
      </c>
      <c r="N8" s="517" t="s">
        <v>302</v>
      </c>
      <c r="P8" s="1241">
        <v>1992</v>
      </c>
      <c r="Q8" s="1224"/>
      <c r="R8" s="1224">
        <v>3297</v>
      </c>
      <c r="S8" s="1224">
        <v>43</v>
      </c>
      <c r="T8" s="1224"/>
      <c r="U8" s="1224"/>
      <c r="V8" s="1224"/>
      <c r="W8" s="1224">
        <v>349</v>
      </c>
      <c r="X8" s="1224">
        <v>2</v>
      </c>
      <c r="Y8" s="1233"/>
      <c r="AC8" s="517">
        <v>1992</v>
      </c>
      <c r="AD8" s="1414" t="e">
        <f>Table1[[#This Row],[Electricity]]/Table1[[#This Row],[Gasoline]]</f>
        <v>#DIV/0!</v>
      </c>
      <c r="AE8" s="1414" t="e">
        <f>Table1[[#This Row],[Hydrogen]]/Table1[[#This Row],[Gasoline]]</f>
        <v>#DIV/0!</v>
      </c>
    </row>
    <row r="9" spans="1:31" x14ac:dyDescent="0.2">
      <c r="B9" s="1268">
        <v>2010</v>
      </c>
      <c r="C9" s="1274">
        <v>1</v>
      </c>
      <c r="D9" s="1265">
        <v>1</v>
      </c>
      <c r="E9" s="1265">
        <v>1</v>
      </c>
      <c r="F9" s="1265">
        <v>1</v>
      </c>
      <c r="G9" s="1265">
        <v>1</v>
      </c>
      <c r="H9" s="1265">
        <v>1</v>
      </c>
      <c r="I9" s="1265">
        <v>1</v>
      </c>
      <c r="J9" s="1419">
        <f t="shared" si="0"/>
        <v>0</v>
      </c>
      <c r="K9" s="1420">
        <f t="shared" si="1"/>
        <v>0</v>
      </c>
      <c r="M9" s="1415">
        <v>0</v>
      </c>
      <c r="N9" s="1400">
        <f t="shared" ref="N9:N40" si="2">WEIBULL(M9,$N$4,$N$5,$N$6)</f>
        <v>0</v>
      </c>
      <c r="P9" s="1241">
        <v>1993</v>
      </c>
      <c r="Q9" s="1224"/>
      <c r="R9" s="1224">
        <v>3297</v>
      </c>
      <c r="S9" s="1224">
        <v>50</v>
      </c>
      <c r="T9" s="1224"/>
      <c r="U9" s="1224"/>
      <c r="V9" s="1224"/>
      <c r="W9" s="1224">
        <v>497</v>
      </c>
      <c r="X9" s="1224">
        <v>7</v>
      </c>
      <c r="Y9" s="1233"/>
      <c r="AC9" s="517">
        <v>1993</v>
      </c>
      <c r="AD9" s="1414" t="e">
        <f>Table1[[#This Row],[Electricity]]/Table1[[#This Row],[Gasoline]]</f>
        <v>#DIV/0!</v>
      </c>
      <c r="AE9" s="1414" t="e">
        <f>Table1[[#This Row],[Hydrogen]]/Table1[[#This Row],[Gasoline]]</f>
        <v>#DIV/0!</v>
      </c>
    </row>
    <row r="10" spans="1:31" x14ac:dyDescent="0.2">
      <c r="B10" s="1268">
        <v>2011</v>
      </c>
      <c r="C10" s="1274">
        <v>1</v>
      </c>
      <c r="D10" s="1265">
        <v>1</v>
      </c>
      <c r="E10" s="1265">
        <v>1</v>
      </c>
      <c r="F10" s="1265">
        <v>1</v>
      </c>
      <c r="G10" s="1265">
        <v>1</v>
      </c>
      <c r="H10" s="1265">
        <v>1</v>
      </c>
      <c r="I10" s="1265">
        <v>1</v>
      </c>
      <c r="J10" s="1419">
        <f t="shared" si="0"/>
        <v>1.5999998720000074E-7</v>
      </c>
      <c r="K10" s="1420">
        <f t="shared" si="1"/>
        <v>0</v>
      </c>
      <c r="M10" s="1415">
        <v>0.01</v>
      </c>
      <c r="N10" s="1400">
        <f t="shared" si="2"/>
        <v>1.5999998720000074E-7</v>
      </c>
      <c r="P10" s="1241">
        <v>1994</v>
      </c>
      <c r="Q10" s="1224"/>
      <c r="R10" s="1224">
        <v>3299</v>
      </c>
      <c r="S10" s="1224">
        <v>82</v>
      </c>
      <c r="T10" s="1224"/>
      <c r="U10" s="1224"/>
      <c r="V10" s="1224"/>
      <c r="W10" s="1224">
        <v>1042</v>
      </c>
      <c r="X10" s="1224">
        <v>32</v>
      </c>
      <c r="Y10" s="1233"/>
      <c r="AC10" s="517">
        <v>1994</v>
      </c>
      <c r="AD10" s="1414" t="e">
        <f>Table1[[#This Row],[Electricity]]/Table1[[#This Row],[Gasoline]]</f>
        <v>#DIV/0!</v>
      </c>
      <c r="AE10" s="1414" t="e">
        <f>Table1[[#This Row],[Hydrogen]]/Table1[[#This Row],[Gasoline]]</f>
        <v>#DIV/0!</v>
      </c>
    </row>
    <row r="11" spans="1:31" x14ac:dyDescent="0.2">
      <c r="B11" s="1268">
        <v>2012</v>
      </c>
      <c r="C11" s="1274">
        <v>1</v>
      </c>
      <c r="D11" s="1265">
        <v>1</v>
      </c>
      <c r="E11" s="1265">
        <v>1</v>
      </c>
      <c r="F11" s="1265">
        <v>1</v>
      </c>
      <c r="G11" s="1265">
        <v>1</v>
      </c>
      <c r="H11" s="1265">
        <v>1</v>
      </c>
      <c r="I11" s="1265">
        <v>1</v>
      </c>
      <c r="J11" s="1419">
        <f t="shared" si="0"/>
        <v>4.0959161150653103E-5</v>
      </c>
      <c r="K11" s="1420">
        <f t="shared" si="1"/>
        <v>0</v>
      </c>
      <c r="M11" s="1415">
        <f>M10+0.01</f>
        <v>0.02</v>
      </c>
      <c r="N11" s="1400">
        <f t="shared" si="2"/>
        <v>2.559996723202798E-6</v>
      </c>
      <c r="P11" s="1241">
        <v>1995</v>
      </c>
      <c r="Q11" s="1224">
        <f>188</f>
        <v>188</v>
      </c>
      <c r="R11" s="1224">
        <v>3299</v>
      </c>
      <c r="S11" s="1224">
        <v>88</v>
      </c>
      <c r="T11" s="1224"/>
      <c r="U11" s="1224"/>
      <c r="V11" s="1224"/>
      <c r="W11" s="1224">
        <v>1065</v>
      </c>
      <c r="X11" s="1224">
        <v>37</v>
      </c>
      <c r="Y11" s="1233"/>
      <c r="AC11" s="517">
        <v>1995</v>
      </c>
      <c r="AD11" s="1414" t="e">
        <f>Table1[[#This Row],[Electricity]]/Table1[[#This Row],[Gasoline]]</f>
        <v>#DIV/0!</v>
      </c>
      <c r="AE11" s="1414" t="e">
        <f>Table1[[#This Row],[Hydrogen]]/Table1[[#This Row],[Gasoline]]</f>
        <v>#DIV/0!</v>
      </c>
    </row>
    <row r="12" spans="1:31" x14ac:dyDescent="0.2">
      <c r="B12" s="1268">
        <v>2013</v>
      </c>
      <c r="C12" s="1274">
        <v>1</v>
      </c>
      <c r="D12" s="1265">
        <v>1</v>
      </c>
      <c r="E12" s="1265">
        <v>1</v>
      </c>
      <c r="F12" s="1265">
        <v>1</v>
      </c>
      <c r="G12" s="1265">
        <v>1</v>
      </c>
      <c r="H12" s="1265">
        <v>1</v>
      </c>
      <c r="I12" s="1265">
        <v>1</v>
      </c>
      <c r="J12" s="1419">
        <f t="shared" si="0"/>
        <v>2.0733850240113979E-4</v>
      </c>
      <c r="K12" s="1420">
        <f t="shared" si="1"/>
        <v>0</v>
      </c>
      <c r="M12" s="1415">
        <f t="shared" ref="M12:M75" si="3">M11+0.01</f>
        <v>0.03</v>
      </c>
      <c r="N12" s="1400">
        <f t="shared" si="2"/>
        <v>1.2959916019562793E-5</v>
      </c>
      <c r="P12" s="1241">
        <v>1996</v>
      </c>
      <c r="Q12" s="1224">
        <f>194</f>
        <v>194</v>
      </c>
      <c r="R12" s="1224">
        <v>4252</v>
      </c>
      <c r="S12" s="1224">
        <v>95</v>
      </c>
      <c r="T12" s="1224">
        <v>72</v>
      </c>
      <c r="U12" s="1224"/>
      <c r="V12" s="1224"/>
      <c r="W12" s="1224">
        <v>1419</v>
      </c>
      <c r="X12" s="1224">
        <v>68</v>
      </c>
      <c r="Y12" s="1233">
        <v>190246</v>
      </c>
      <c r="AC12" s="517">
        <v>1996</v>
      </c>
      <c r="AD12" s="1414">
        <f>Table1[[#This Row],[Electricity]]/Table1[[#This Row],[Gasoline]]</f>
        <v>1.0197323465407945E-3</v>
      </c>
      <c r="AE12" s="1414">
        <f>Table1[[#This Row],[Hydrogen]]/Table1[[#This Row],[Gasoline]]</f>
        <v>0</v>
      </c>
    </row>
    <row r="13" spans="1:31" x14ac:dyDescent="0.2">
      <c r="B13" s="1268">
        <v>2014</v>
      </c>
      <c r="C13" s="1274">
        <v>1</v>
      </c>
      <c r="D13" s="1265">
        <v>1</v>
      </c>
      <c r="E13" s="1265">
        <v>1</v>
      </c>
      <c r="F13" s="1265">
        <v>1</v>
      </c>
      <c r="G13" s="1265">
        <v>1</v>
      </c>
      <c r="H13" s="1265">
        <v>1</v>
      </c>
      <c r="I13" s="1265">
        <v>1</v>
      </c>
      <c r="J13" s="1419">
        <f t="shared" si="0"/>
        <v>6.5514529854001074E-4</v>
      </c>
      <c r="K13" s="1420">
        <f t="shared" si="1"/>
        <v>0</v>
      </c>
      <c r="M13" s="1415">
        <f t="shared" si="3"/>
        <v>0.04</v>
      </c>
      <c r="N13" s="1400">
        <f t="shared" si="2"/>
        <v>4.0959161150653103E-5</v>
      </c>
      <c r="P13" s="1241">
        <v>1997</v>
      </c>
      <c r="Q13" s="1224">
        <f>310</f>
        <v>310</v>
      </c>
      <c r="R13" s="1224">
        <v>4255</v>
      </c>
      <c r="S13" s="1224">
        <v>106</v>
      </c>
      <c r="T13" s="1224">
        <v>71</v>
      </c>
      <c r="U13" s="1224"/>
      <c r="V13" s="1224"/>
      <c r="W13" s="1224">
        <v>1426</v>
      </c>
      <c r="X13" s="1224">
        <v>71</v>
      </c>
      <c r="Y13" s="1233">
        <v>187892</v>
      </c>
      <c r="AC13" s="517">
        <v>1997</v>
      </c>
      <c r="AD13" s="1414">
        <f>Table1[[#This Row],[Electricity]]/Table1[[#This Row],[Gasoline]]</f>
        <v>1.6498839759010496E-3</v>
      </c>
      <c r="AE13" s="1414">
        <f>Table1[[#This Row],[Hydrogen]]/Table1[[#This Row],[Gasoline]]</f>
        <v>0</v>
      </c>
    </row>
    <row r="14" spans="1:31" x14ac:dyDescent="0.2">
      <c r="B14" s="1268">
        <v>2015</v>
      </c>
      <c r="C14" s="1274">
        <v>1</v>
      </c>
      <c r="D14" s="1265">
        <v>1</v>
      </c>
      <c r="E14" s="1265">
        <v>1</v>
      </c>
      <c r="F14" s="1265">
        <v>1</v>
      </c>
      <c r="G14" s="1265">
        <v>1</v>
      </c>
      <c r="H14" s="1265">
        <v>1</v>
      </c>
      <c r="I14" s="1265">
        <v>1</v>
      </c>
      <c r="J14" s="1419">
        <f t="shared" si="0"/>
        <v>1.0492091947258413E-3</v>
      </c>
      <c r="K14" s="1420">
        <f t="shared" si="1"/>
        <v>0</v>
      </c>
      <c r="M14" s="1415">
        <f t="shared" si="3"/>
        <v>0.05</v>
      </c>
      <c r="N14" s="1400">
        <f t="shared" si="2"/>
        <v>9.999500016666259E-5</v>
      </c>
      <c r="P14" s="1241">
        <v>1998</v>
      </c>
      <c r="Q14" s="1224">
        <f>486</f>
        <v>486</v>
      </c>
      <c r="R14" s="1224">
        <v>5318</v>
      </c>
      <c r="S14" s="1224">
        <v>91</v>
      </c>
      <c r="T14" s="1224">
        <v>66</v>
      </c>
      <c r="U14" s="1224"/>
      <c r="V14" s="1224"/>
      <c r="W14" s="1224">
        <v>1268</v>
      </c>
      <c r="X14" s="1224">
        <v>40</v>
      </c>
      <c r="Y14" s="1233">
        <v>182596</v>
      </c>
      <c r="AC14" s="517">
        <v>1998</v>
      </c>
      <c r="AD14" s="1414">
        <f>Table1[[#This Row],[Electricity]]/Table1[[#This Row],[Gasoline]]</f>
        <v>2.6616136169467018E-3</v>
      </c>
      <c r="AE14" s="1414">
        <f>Table1[[#This Row],[Hydrogen]]/Table1[[#This Row],[Gasoline]]</f>
        <v>0</v>
      </c>
    </row>
    <row r="15" spans="1:31" x14ac:dyDescent="0.2">
      <c r="B15" s="1268">
        <v>2016</v>
      </c>
      <c r="C15" s="1274">
        <v>1</v>
      </c>
      <c r="D15" s="1265">
        <v>1</v>
      </c>
      <c r="E15" s="1265">
        <v>1</v>
      </c>
      <c r="F15" s="1265">
        <v>1</v>
      </c>
      <c r="G15" s="1265">
        <v>1</v>
      </c>
      <c r="H15" s="1265">
        <v>1</v>
      </c>
      <c r="I15" s="1265">
        <v>1</v>
      </c>
      <c r="J15" s="1419">
        <f t="shared" si="0"/>
        <v>4.5593345334435922E-3</v>
      </c>
      <c r="K15" s="1420">
        <f t="shared" si="1"/>
        <v>0</v>
      </c>
      <c r="M15" s="1415">
        <f t="shared" si="3"/>
        <v>6.0000000000000005E-2</v>
      </c>
      <c r="N15" s="1400">
        <f t="shared" si="2"/>
        <v>2.0733850240113979E-4</v>
      </c>
      <c r="P15" s="1241">
        <v>1999</v>
      </c>
      <c r="Q15" s="1224">
        <f>490</f>
        <v>490</v>
      </c>
      <c r="R15" s="1224">
        <v>4153</v>
      </c>
      <c r="S15" s="1224">
        <v>51</v>
      </c>
      <c r="T15" s="1224">
        <v>46</v>
      </c>
      <c r="U15" s="1224"/>
      <c r="V15" s="1224"/>
      <c r="W15" s="1224">
        <v>1267</v>
      </c>
      <c r="X15" s="1224">
        <v>49</v>
      </c>
      <c r="Y15" s="1233">
        <v>180567</v>
      </c>
      <c r="AC15" s="517">
        <v>1999</v>
      </c>
      <c r="AD15" s="1414">
        <f>Table1[[#This Row],[Electricity]]/Table1[[#This Row],[Gasoline]]</f>
        <v>2.7136741486539621E-3</v>
      </c>
      <c r="AE15" s="1414">
        <f>Table1[[#This Row],[Hydrogen]]/Table1[[#This Row],[Gasoline]]</f>
        <v>0</v>
      </c>
    </row>
    <row r="16" spans="1:31" x14ac:dyDescent="0.2">
      <c r="B16" s="1268">
        <v>2017</v>
      </c>
      <c r="C16" s="1274">
        <v>1</v>
      </c>
      <c r="D16" s="1265">
        <v>1</v>
      </c>
      <c r="E16" s="1265">
        <v>1</v>
      </c>
      <c r="F16" s="1265">
        <v>1</v>
      </c>
      <c r="G16" s="1265">
        <v>1</v>
      </c>
      <c r="H16" s="1265">
        <v>1</v>
      </c>
      <c r="I16" s="1265">
        <v>1</v>
      </c>
      <c r="J16" s="1419">
        <f t="shared" si="0"/>
        <v>1.0430976069530742E-2</v>
      </c>
      <c r="K16" s="1420">
        <f t="shared" si="1"/>
        <v>0</v>
      </c>
      <c r="M16" s="1415">
        <f t="shared" si="3"/>
        <v>7.0000000000000007E-2</v>
      </c>
      <c r="N16" s="1400">
        <f t="shared" si="2"/>
        <v>3.8408621999527803E-4</v>
      </c>
      <c r="P16" s="1241">
        <v>2000</v>
      </c>
      <c r="Q16" s="1224">
        <f>558</f>
        <v>558</v>
      </c>
      <c r="R16" s="1224">
        <v>3268</v>
      </c>
      <c r="S16" s="1224">
        <v>3</v>
      </c>
      <c r="T16" s="1224">
        <v>44</v>
      </c>
      <c r="U16" s="1224"/>
      <c r="V16" s="1224">
        <v>2</v>
      </c>
      <c r="W16" s="1224">
        <v>1217</v>
      </c>
      <c r="X16" s="1224">
        <v>113</v>
      </c>
      <c r="Y16" s="1233">
        <v>175941</v>
      </c>
      <c r="AC16" s="517">
        <v>2000</v>
      </c>
      <c r="AD16" s="1414">
        <f>Table1[[#This Row],[Electricity]]/Table1[[#This Row],[Gasoline]]</f>
        <v>3.1715177246918001E-3</v>
      </c>
      <c r="AE16" s="1414">
        <f>Table1[[#This Row],[Hydrogen]]/Table1[[#This Row],[Gasoline]]</f>
        <v>0</v>
      </c>
    </row>
    <row r="17" spans="2:31" x14ac:dyDescent="0.2">
      <c r="B17" s="1268">
        <v>2018</v>
      </c>
      <c r="C17" s="1274">
        <v>1</v>
      </c>
      <c r="D17" s="1265">
        <v>1</v>
      </c>
      <c r="E17" s="1265">
        <v>1</v>
      </c>
      <c r="F17" s="1265">
        <v>1</v>
      </c>
      <c r="G17" s="1265">
        <v>1</v>
      </c>
      <c r="H17" s="1265">
        <v>1</v>
      </c>
      <c r="I17" s="1265">
        <v>1</v>
      </c>
      <c r="J17" s="1419">
        <f t="shared" si="0"/>
        <v>2.063547350575257E-2</v>
      </c>
      <c r="K17" s="1420">
        <f t="shared" si="1"/>
        <v>0</v>
      </c>
      <c r="M17" s="1415">
        <f t="shared" si="3"/>
        <v>0.08</v>
      </c>
      <c r="N17" s="1400">
        <f t="shared" si="2"/>
        <v>6.5514529854001074E-4</v>
      </c>
      <c r="P17" s="1241">
        <v>2001</v>
      </c>
      <c r="Q17" s="1224">
        <f>693</f>
        <v>693</v>
      </c>
      <c r="R17" s="1224">
        <v>3403</v>
      </c>
      <c r="S17" s="1224"/>
      <c r="T17" s="1224">
        <v>44</v>
      </c>
      <c r="U17" s="1224"/>
      <c r="V17" s="1224">
        <v>16</v>
      </c>
      <c r="W17" s="1224">
        <v>1232</v>
      </c>
      <c r="X17" s="1224">
        <v>154</v>
      </c>
      <c r="Y17" s="1233">
        <v>172169</v>
      </c>
      <c r="AC17" s="517">
        <v>2001</v>
      </c>
      <c r="AD17" s="1414">
        <f>Table1[[#This Row],[Electricity]]/Table1[[#This Row],[Gasoline]]</f>
        <v>4.0251148580754958E-3</v>
      </c>
      <c r="AE17" s="1414">
        <f>Table1[[#This Row],[Hydrogen]]/Table1[[#This Row],[Gasoline]]</f>
        <v>0</v>
      </c>
    </row>
    <row r="18" spans="2:31" x14ac:dyDescent="0.2">
      <c r="B18" s="1268">
        <v>2019</v>
      </c>
      <c r="C18" s="1274">
        <v>1</v>
      </c>
      <c r="D18" s="1265">
        <v>1</v>
      </c>
      <c r="E18" s="1265">
        <v>1</v>
      </c>
      <c r="F18" s="1265">
        <v>1</v>
      </c>
      <c r="G18" s="1265">
        <v>1</v>
      </c>
      <c r="H18" s="1265">
        <v>1</v>
      </c>
      <c r="I18" s="1265">
        <v>1</v>
      </c>
      <c r="J18" s="1419">
        <f t="shared" si="0"/>
        <v>2.5275098398206075E-2</v>
      </c>
      <c r="K18" s="1420">
        <f t="shared" si="1"/>
        <v>0</v>
      </c>
      <c r="M18" s="1415">
        <f t="shared" si="3"/>
        <v>0.09</v>
      </c>
      <c r="N18" s="1400">
        <f t="shared" si="2"/>
        <v>1.0492091947258413E-3</v>
      </c>
      <c r="P18" s="1241">
        <v>2002</v>
      </c>
      <c r="Q18" s="1224">
        <f>873</f>
        <v>873</v>
      </c>
      <c r="R18" s="1224">
        <v>3431</v>
      </c>
      <c r="S18" s="1224"/>
      <c r="T18" s="1224">
        <v>36</v>
      </c>
      <c r="U18" s="1224">
        <v>7</v>
      </c>
      <c r="V18" s="1224">
        <v>79</v>
      </c>
      <c r="W18" s="1224">
        <v>1166</v>
      </c>
      <c r="X18" s="1224">
        <v>149</v>
      </c>
      <c r="Y18" s="1233">
        <v>170018</v>
      </c>
      <c r="AC18" s="517">
        <v>2002</v>
      </c>
      <c r="AD18" s="1414">
        <f>Table1[[#This Row],[Electricity]]/Table1[[#This Row],[Gasoline]]</f>
        <v>5.1347504381888979E-3</v>
      </c>
      <c r="AE18" s="1414">
        <f>Table1[[#This Row],[Hydrogen]]/Table1[[#This Row],[Gasoline]]</f>
        <v>4.1172111188227128E-5</v>
      </c>
    </row>
    <row r="19" spans="2:31" x14ac:dyDescent="0.2">
      <c r="B19" s="1268">
        <v>2020</v>
      </c>
      <c r="C19" s="1274">
        <v>1</v>
      </c>
      <c r="D19" s="1265">
        <v>1</v>
      </c>
      <c r="E19" s="1265">
        <v>1</v>
      </c>
      <c r="F19" s="1265">
        <v>1</v>
      </c>
      <c r="G19" s="1265">
        <v>1</v>
      </c>
      <c r="H19" s="1265">
        <v>1</v>
      </c>
      <c r="I19" s="1265">
        <v>1</v>
      </c>
      <c r="J19" s="1419">
        <f t="shared" si="0"/>
        <v>4.3786973799347463E-2</v>
      </c>
      <c r="K19" s="1420">
        <f t="shared" si="1"/>
        <v>0</v>
      </c>
      <c r="M19" s="1415">
        <f t="shared" si="3"/>
        <v>9.9999999999999992E-2</v>
      </c>
      <c r="N19" s="1400">
        <f t="shared" si="2"/>
        <v>1.5987206823936864E-3</v>
      </c>
      <c r="P19" s="1241">
        <v>2003</v>
      </c>
      <c r="Q19" s="1224">
        <f>830</f>
        <v>830</v>
      </c>
      <c r="R19" s="1224">
        <v>3966</v>
      </c>
      <c r="S19" s="1224"/>
      <c r="T19" s="1224">
        <v>62</v>
      </c>
      <c r="U19" s="1224">
        <v>7</v>
      </c>
      <c r="V19" s="1224">
        <v>142</v>
      </c>
      <c r="W19" s="1224">
        <v>1035</v>
      </c>
      <c r="X19" s="1224">
        <v>188</v>
      </c>
      <c r="Y19" s="1233">
        <v>167571</v>
      </c>
      <c r="AC19" s="517">
        <v>2003</v>
      </c>
      <c r="AD19" s="1414">
        <f>Table1[[#This Row],[Electricity]]/Table1[[#This Row],[Gasoline]]</f>
        <v>4.9531243472915954E-3</v>
      </c>
      <c r="AE19" s="1414">
        <f>Table1[[#This Row],[Hydrogen]]/Table1[[#This Row],[Gasoline]]</f>
        <v>4.1773337868724299E-5</v>
      </c>
    </row>
    <row r="20" spans="2:31" x14ac:dyDescent="0.2">
      <c r="B20" s="1268">
        <v>2021</v>
      </c>
      <c r="C20" s="1274">
        <v>1</v>
      </c>
      <c r="D20" s="1265">
        <v>1</v>
      </c>
      <c r="E20" s="1265">
        <v>1</v>
      </c>
      <c r="F20" s="1265">
        <v>1</v>
      </c>
      <c r="G20" s="1265">
        <v>1</v>
      </c>
      <c r="H20" s="1265">
        <v>1</v>
      </c>
      <c r="I20" s="1265">
        <v>1</v>
      </c>
      <c r="J20" s="1419">
        <f t="shared" si="0"/>
        <v>6.0586937186524262E-2</v>
      </c>
      <c r="K20" s="1420">
        <f t="shared" si="1"/>
        <v>0</v>
      </c>
      <c r="M20" s="1415">
        <f t="shared" si="3"/>
        <v>0.10999999999999999</v>
      </c>
      <c r="N20" s="1400">
        <f t="shared" si="2"/>
        <v>2.3398183475694901E-3</v>
      </c>
      <c r="P20" s="1241">
        <v>2004</v>
      </c>
      <c r="Q20" s="1224">
        <f>671</f>
        <v>671</v>
      </c>
      <c r="R20" s="1224">
        <v>3689</v>
      </c>
      <c r="S20" s="1225"/>
      <c r="T20" s="1224">
        <v>58</v>
      </c>
      <c r="U20" s="1224">
        <v>9</v>
      </c>
      <c r="V20" s="1224">
        <v>176</v>
      </c>
      <c r="W20" s="1224">
        <v>917</v>
      </c>
      <c r="X20" s="1224">
        <v>200</v>
      </c>
      <c r="Y20" s="1233">
        <v>167346</v>
      </c>
      <c r="AC20" s="517">
        <v>2004</v>
      </c>
      <c r="AD20" s="1414">
        <f>Table1[[#This Row],[Electricity]]/Table1[[#This Row],[Gasoline]]</f>
        <v>4.0096566395372464E-3</v>
      </c>
      <c r="AE20" s="1414">
        <f>Table1[[#This Row],[Hydrogen]]/Table1[[#This Row],[Gasoline]]</f>
        <v>5.378078950198989E-5</v>
      </c>
    </row>
    <row r="21" spans="2:31" x14ac:dyDescent="0.2">
      <c r="B21" s="1268">
        <v>2022</v>
      </c>
      <c r="C21" s="1274">
        <v>1</v>
      </c>
      <c r="D21" s="1265">
        <v>1</v>
      </c>
      <c r="E21" s="1265">
        <v>1</v>
      </c>
      <c r="F21" s="1265">
        <v>1</v>
      </c>
      <c r="G21" s="1265">
        <v>1</v>
      </c>
      <c r="H21" s="1265">
        <v>1</v>
      </c>
      <c r="I21" s="1265">
        <v>1</v>
      </c>
      <c r="J21" s="1419">
        <f t="shared" si="0"/>
        <v>9.3663799913688631E-2</v>
      </c>
      <c r="K21" s="1420">
        <f t="shared" si="1"/>
        <v>0</v>
      </c>
      <c r="M21" s="1415">
        <f t="shared" si="3"/>
        <v>0.11999999999999998</v>
      </c>
      <c r="N21" s="1400">
        <f t="shared" si="2"/>
        <v>3.3122623159705469E-3</v>
      </c>
      <c r="P21" s="1241">
        <v>2005</v>
      </c>
      <c r="Q21" s="1224">
        <f>588</f>
        <v>588</v>
      </c>
      <c r="R21" s="1224">
        <v>2995</v>
      </c>
      <c r="S21" s="1225"/>
      <c r="T21" s="1224">
        <v>40</v>
      </c>
      <c r="U21" s="1224">
        <v>14</v>
      </c>
      <c r="V21" s="1224">
        <v>304</v>
      </c>
      <c r="W21" s="1224">
        <v>787</v>
      </c>
      <c r="X21" s="1224">
        <v>436</v>
      </c>
      <c r="Y21" s="1233">
        <v>168987</v>
      </c>
      <c r="AC21" s="517">
        <v>2005</v>
      </c>
      <c r="AD21" s="1414">
        <f>Table1[[#This Row],[Electricity]]/Table1[[#This Row],[Gasoline]]</f>
        <v>3.4795575991052566E-3</v>
      </c>
      <c r="AE21" s="1414">
        <f>Table1[[#This Row],[Hydrogen]]/Table1[[#This Row],[Gasoline]]</f>
        <v>8.284660950250611E-5</v>
      </c>
    </row>
    <row r="22" spans="2:31" x14ac:dyDescent="0.2">
      <c r="B22" s="1268">
        <v>2023</v>
      </c>
      <c r="C22" s="1274">
        <v>1</v>
      </c>
      <c r="D22" s="1265">
        <v>1</v>
      </c>
      <c r="E22" s="1265">
        <v>1</v>
      </c>
      <c r="F22" s="1265">
        <v>1</v>
      </c>
      <c r="G22" s="1265">
        <v>1</v>
      </c>
      <c r="H22" s="1265">
        <v>1</v>
      </c>
      <c r="I22" s="1265">
        <v>1</v>
      </c>
      <c r="J22" s="1419">
        <f t="shared" si="0"/>
        <v>0.12155326065006883</v>
      </c>
      <c r="K22" s="1420">
        <f t="shared" si="1"/>
        <v>0</v>
      </c>
      <c r="M22" s="1415">
        <f t="shared" si="3"/>
        <v>0.12999999999999998</v>
      </c>
      <c r="N22" s="1400">
        <f t="shared" si="2"/>
        <v>4.5593345334435922E-3</v>
      </c>
      <c r="P22" s="1241">
        <v>2006</v>
      </c>
      <c r="Q22" s="1224">
        <f>465</f>
        <v>465</v>
      </c>
      <c r="R22" s="1224">
        <v>2619</v>
      </c>
      <c r="S22" s="1224"/>
      <c r="T22" s="1224">
        <v>37</v>
      </c>
      <c r="U22" s="1224">
        <v>17</v>
      </c>
      <c r="V22" s="1224">
        <v>459</v>
      </c>
      <c r="W22" s="1224">
        <v>732</v>
      </c>
      <c r="X22" s="1224">
        <v>762</v>
      </c>
      <c r="Y22" s="1233">
        <v>167476</v>
      </c>
      <c r="AC22" s="517">
        <v>2006</v>
      </c>
      <c r="AD22" s="1414">
        <f>Table1[[#This Row],[Electricity]]/Table1[[#This Row],[Gasoline]]</f>
        <v>2.7765172323198548E-3</v>
      </c>
      <c r="AE22" s="1414">
        <f>Table1[[#This Row],[Hydrogen]]/Table1[[#This Row],[Gasoline]]</f>
        <v>1.0150708161169362E-4</v>
      </c>
    </row>
    <row r="23" spans="2:31" x14ac:dyDescent="0.2">
      <c r="B23" s="1268">
        <v>2024</v>
      </c>
      <c r="C23" s="1274">
        <v>1</v>
      </c>
      <c r="D23" s="1265">
        <v>1</v>
      </c>
      <c r="E23" s="1265">
        <v>1</v>
      </c>
      <c r="F23" s="1265">
        <v>1</v>
      </c>
      <c r="G23" s="1265">
        <v>1</v>
      </c>
      <c r="H23" s="1265">
        <v>1</v>
      </c>
      <c r="I23" s="1265">
        <v>1</v>
      </c>
      <c r="J23" s="1419">
        <f t="shared" si="0"/>
        <v>0.15445353795437128</v>
      </c>
      <c r="K23" s="1420">
        <f t="shared" si="1"/>
        <v>0</v>
      </c>
      <c r="M23" s="1415">
        <f t="shared" si="3"/>
        <v>0.13999999999999999</v>
      </c>
      <c r="N23" s="1400">
        <f t="shared" si="2"/>
        <v>6.1277085437277685E-3</v>
      </c>
      <c r="P23" s="1241">
        <v>2007</v>
      </c>
      <c r="Q23" s="1226">
        <f>442</f>
        <v>442</v>
      </c>
      <c r="R23" s="1226">
        <v>2371</v>
      </c>
      <c r="S23" s="1224"/>
      <c r="T23" s="1224">
        <v>35</v>
      </c>
      <c r="U23" s="1224">
        <v>32</v>
      </c>
      <c r="V23" s="1226">
        <v>742</v>
      </c>
      <c r="W23" s="1226">
        <v>721</v>
      </c>
      <c r="X23" s="1226">
        <v>1208</v>
      </c>
      <c r="Y23" s="1233">
        <v>164292</v>
      </c>
      <c r="AC23" s="517">
        <v>2007</v>
      </c>
      <c r="AD23" s="1414">
        <f>Table1[[#This Row],[Electricity]]/Table1[[#This Row],[Gasoline]]</f>
        <v>2.6903318481727658E-3</v>
      </c>
      <c r="AE23" s="1414">
        <f>Table1[[#This Row],[Hydrogen]]/Table1[[#This Row],[Gasoline]]</f>
        <v>1.9477515642879752E-4</v>
      </c>
    </row>
    <row r="24" spans="2:31" x14ac:dyDescent="0.2">
      <c r="B24" s="1268">
        <v>2025</v>
      </c>
      <c r="C24" s="1274">
        <v>1</v>
      </c>
      <c r="D24" s="1265">
        <v>1</v>
      </c>
      <c r="E24" s="1265">
        <v>1</v>
      </c>
      <c r="F24" s="1265">
        <v>1</v>
      </c>
      <c r="G24" s="1265">
        <v>1</v>
      </c>
      <c r="H24" s="1265">
        <v>1</v>
      </c>
      <c r="I24" s="1265">
        <v>1</v>
      </c>
      <c r="J24" s="1419">
        <f t="shared" si="0"/>
        <v>0.21345079778654535</v>
      </c>
      <c r="K24" s="1420">
        <f t="shared" si="1"/>
        <v>1.5999998720000074E-7</v>
      </c>
      <c r="M24" s="1415">
        <f t="shared" si="3"/>
        <v>0.15</v>
      </c>
      <c r="N24" s="1400">
        <f t="shared" si="2"/>
        <v>8.0672833944288314E-3</v>
      </c>
      <c r="P24" s="1241">
        <v>2008</v>
      </c>
      <c r="Q24" s="1226">
        <f>430</f>
        <v>430</v>
      </c>
      <c r="R24" s="1226">
        <v>2175</v>
      </c>
      <c r="S24" s="1224"/>
      <c r="T24" s="1230">
        <v>38</v>
      </c>
      <c r="U24" s="1224">
        <v>46</v>
      </c>
      <c r="V24" s="1226">
        <v>645</v>
      </c>
      <c r="W24" s="1226">
        <v>778</v>
      </c>
      <c r="X24" s="1226">
        <v>1644</v>
      </c>
      <c r="Y24" s="1233">
        <v>161078</v>
      </c>
      <c r="AC24" s="517">
        <v>2008</v>
      </c>
      <c r="AD24" s="1414">
        <f>Table1[[#This Row],[Electricity]]/Table1[[#This Row],[Gasoline]]</f>
        <v>2.6695141484249867E-3</v>
      </c>
      <c r="AE24" s="1414">
        <f>Table1[[#This Row],[Hydrogen]]/Table1[[#This Row],[Gasoline]]</f>
        <v>2.8557593215709158E-4</v>
      </c>
    </row>
    <row r="25" spans="2:31" x14ac:dyDescent="0.2">
      <c r="B25" s="1268">
        <v>2026</v>
      </c>
      <c r="C25" s="1274">
        <v>1</v>
      </c>
      <c r="D25" s="1265">
        <v>1</v>
      </c>
      <c r="E25" s="1265">
        <v>1</v>
      </c>
      <c r="F25" s="1265">
        <v>1</v>
      </c>
      <c r="G25" s="1265">
        <v>1</v>
      </c>
      <c r="H25" s="1265">
        <v>1</v>
      </c>
      <c r="I25" s="1265">
        <v>1</v>
      </c>
      <c r="J25" s="1419">
        <f t="shared" si="0"/>
        <v>0.25908232520512747</v>
      </c>
      <c r="K25" s="1420">
        <f t="shared" si="1"/>
        <v>2.559996723202798E-6</v>
      </c>
      <c r="M25" s="1415">
        <f t="shared" si="3"/>
        <v>0.16</v>
      </c>
      <c r="N25" s="1400">
        <f t="shared" si="2"/>
        <v>1.0430976069530742E-2</v>
      </c>
      <c r="P25" s="1241">
        <v>2009</v>
      </c>
      <c r="Q25" s="1226">
        <f>465</f>
        <v>465</v>
      </c>
      <c r="R25" s="1226">
        <v>2468</v>
      </c>
      <c r="S25" s="1224"/>
      <c r="T25" s="1230">
        <v>36</v>
      </c>
      <c r="U25" s="1224">
        <v>63</v>
      </c>
      <c r="V25" s="1226">
        <v>679</v>
      </c>
      <c r="W25" s="1226">
        <v>772</v>
      </c>
      <c r="X25" s="1226">
        <v>1928</v>
      </c>
      <c r="Y25" s="1233">
        <v>162350</v>
      </c>
      <c r="AC25" s="517">
        <v>2009</v>
      </c>
      <c r="AD25" s="1414">
        <f>Table1[[#This Row],[Electricity]]/Table1[[#This Row],[Gasoline]]</f>
        <v>2.864182322143517E-3</v>
      </c>
      <c r="AE25" s="1414">
        <f>Table1[[#This Row],[Hydrogen]]/Table1[[#This Row],[Gasoline]]</f>
        <v>3.8805050816137976E-4</v>
      </c>
    </row>
    <row r="26" spans="2:31" x14ac:dyDescent="0.2">
      <c r="B26" s="1268">
        <v>2027</v>
      </c>
      <c r="C26" s="1274">
        <v>1</v>
      </c>
      <c r="D26" s="1265">
        <v>1</v>
      </c>
      <c r="E26" s="1265">
        <v>1</v>
      </c>
      <c r="F26" s="1265">
        <v>1</v>
      </c>
      <c r="G26" s="1265">
        <v>1</v>
      </c>
      <c r="H26" s="1265">
        <v>1</v>
      </c>
      <c r="I26" s="1265">
        <v>1</v>
      </c>
      <c r="J26" s="1419">
        <f t="shared" si="0"/>
        <v>0.33608423666452697</v>
      </c>
      <c r="K26" s="1420">
        <f t="shared" si="1"/>
        <v>2.559996723202798E-6</v>
      </c>
      <c r="M26" s="1415">
        <f t="shared" si="3"/>
        <v>0.17</v>
      </c>
      <c r="N26" s="1400">
        <f t="shared" si="2"/>
        <v>1.3274466716304363E-2</v>
      </c>
      <c r="P26" s="1241">
        <v>2010</v>
      </c>
      <c r="Q26" s="1226">
        <f>541</f>
        <v>541</v>
      </c>
      <c r="R26" s="1226">
        <v>2647</v>
      </c>
      <c r="S26" s="1224"/>
      <c r="T26" s="1230">
        <v>39</v>
      </c>
      <c r="U26" s="1224">
        <v>58</v>
      </c>
      <c r="V26" s="1226">
        <v>644</v>
      </c>
      <c r="W26" s="1226">
        <v>841</v>
      </c>
      <c r="X26" s="1226">
        <v>2142</v>
      </c>
      <c r="Y26" s="1233">
        <v>159006</v>
      </c>
      <c r="AC26" s="517">
        <v>2010</v>
      </c>
      <c r="AD26" s="1414">
        <f>Table1[[#This Row],[Electricity]]/Table1[[#This Row],[Gasoline]]</f>
        <v>3.4023873312956743E-3</v>
      </c>
      <c r="AE26" s="1414">
        <f>Table1[[#This Row],[Hydrogen]]/Table1[[#This Row],[Gasoline]]</f>
        <v>3.6476610945498911E-4</v>
      </c>
    </row>
    <row r="27" spans="2:31" x14ac:dyDescent="0.2">
      <c r="B27" s="1268">
        <v>2028</v>
      </c>
      <c r="C27" s="1274">
        <v>1</v>
      </c>
      <c r="D27" s="1265">
        <v>1</v>
      </c>
      <c r="E27" s="1265">
        <v>1</v>
      </c>
      <c r="F27" s="1265">
        <v>1</v>
      </c>
      <c r="G27" s="1265">
        <v>1</v>
      </c>
      <c r="H27" s="1265">
        <v>1</v>
      </c>
      <c r="I27" s="1265">
        <v>1</v>
      </c>
      <c r="J27" s="1419">
        <f t="shared" si="0"/>
        <v>0.39217687976031146</v>
      </c>
      <c r="K27" s="1420">
        <f t="shared" si="1"/>
        <v>4.0959161150653103E-5</v>
      </c>
      <c r="M27" s="1415">
        <f t="shared" si="3"/>
        <v>0.18000000000000002</v>
      </c>
      <c r="N27" s="1400">
        <f t="shared" si="2"/>
        <v>1.665589092984994E-2</v>
      </c>
      <c r="P27" s="1241">
        <v>2011</v>
      </c>
      <c r="Q27" s="1227">
        <f>3394/plugs_per_station</f>
        <v>1697</v>
      </c>
      <c r="R27" s="1227">
        <v>2597</v>
      </c>
      <c r="S27" s="1228"/>
      <c r="T27" s="1230">
        <v>45</v>
      </c>
      <c r="U27" s="1224">
        <v>56</v>
      </c>
      <c r="V27" s="1227">
        <v>627</v>
      </c>
      <c r="W27" s="1227">
        <v>910</v>
      </c>
      <c r="X27" s="1227">
        <v>2442</v>
      </c>
      <c r="Y27" s="1233">
        <v>157393</v>
      </c>
      <c r="AC27" s="517">
        <v>2011</v>
      </c>
      <c r="AD27" s="1414">
        <f>Table1[[#This Row],[Electricity]]/Table1[[#This Row],[Gasoline]]</f>
        <v>1.0781928040001779E-2</v>
      </c>
      <c r="AE27" s="1414">
        <f>Table1[[#This Row],[Hydrogen]]/Table1[[#This Row],[Gasoline]]</f>
        <v>3.5579727179734806E-4</v>
      </c>
    </row>
    <row r="28" spans="2:31" x14ac:dyDescent="0.2">
      <c r="B28" s="1268">
        <v>2029</v>
      </c>
      <c r="C28" s="1274">
        <v>1</v>
      </c>
      <c r="D28" s="1265">
        <v>1</v>
      </c>
      <c r="E28" s="1265">
        <v>1</v>
      </c>
      <c r="F28" s="1265">
        <v>1</v>
      </c>
      <c r="G28" s="1265">
        <v>1</v>
      </c>
      <c r="H28" s="1265">
        <v>1</v>
      </c>
      <c r="I28" s="1265">
        <v>1</v>
      </c>
      <c r="J28" s="1419">
        <f t="shared" si="0"/>
        <v>0.45102114846019115</v>
      </c>
      <c r="K28" s="1420">
        <f t="shared" si="1"/>
        <v>9.999500016666259E-5</v>
      </c>
      <c r="M28" s="1415">
        <f t="shared" si="3"/>
        <v>0.19000000000000003</v>
      </c>
      <c r="N28" s="1400">
        <f t="shared" si="2"/>
        <v>2.063547350575257E-2</v>
      </c>
      <c r="P28" s="1241">
        <v>2012</v>
      </c>
      <c r="Q28" s="1227">
        <f>13392/plugs_per_station</f>
        <v>6696</v>
      </c>
      <c r="R28" s="1227">
        <v>2654</v>
      </c>
      <c r="S28" s="1228"/>
      <c r="T28" s="1230">
        <v>59</v>
      </c>
      <c r="U28" s="1224">
        <v>58</v>
      </c>
      <c r="V28" s="1227">
        <v>675</v>
      </c>
      <c r="W28" s="1227">
        <v>1107</v>
      </c>
      <c r="X28" s="1227">
        <v>2553</v>
      </c>
      <c r="Y28" s="1233">
        <v>156065</v>
      </c>
      <c r="AC28" s="517">
        <v>2012</v>
      </c>
      <c r="AD28" s="1414">
        <f>Table1[[#This Row],[Electricity]]/Table1[[#This Row],[Gasoline]]</f>
        <v>4.2905199756511712E-2</v>
      </c>
      <c r="AE28" s="1414">
        <f>Table1[[#This Row],[Hydrogen]]/Table1[[#This Row],[Gasoline]]</f>
        <v>3.7164002178579437E-4</v>
      </c>
    </row>
    <row r="29" spans="2:31" x14ac:dyDescent="0.2">
      <c r="B29" s="1268">
        <v>2030</v>
      </c>
      <c r="C29" s="1274">
        <v>1</v>
      </c>
      <c r="D29" s="1265">
        <v>1</v>
      </c>
      <c r="E29" s="1265">
        <v>1</v>
      </c>
      <c r="F29" s="1265">
        <v>1</v>
      </c>
      <c r="G29" s="1265">
        <v>1</v>
      </c>
      <c r="H29" s="1265">
        <v>1</v>
      </c>
      <c r="I29" s="1265">
        <v>1</v>
      </c>
      <c r="J29" s="1419">
        <f t="shared" si="0"/>
        <v>0.54193718792371426</v>
      </c>
      <c r="K29" s="1420">
        <f t="shared" si="1"/>
        <v>3.8408621999527803E-4</v>
      </c>
      <c r="M29" s="1415">
        <f t="shared" si="3"/>
        <v>0.20000000000000004</v>
      </c>
      <c r="N29" s="1400">
        <f t="shared" si="2"/>
        <v>2.5275098398206075E-2</v>
      </c>
      <c r="P29" s="1241">
        <v>2013</v>
      </c>
      <c r="Q29" s="1227">
        <f>19410/plugs_per_station</f>
        <v>9705</v>
      </c>
      <c r="R29" s="1227">
        <v>2956</v>
      </c>
      <c r="S29" s="1228"/>
      <c r="T29" s="1230">
        <v>81</v>
      </c>
      <c r="U29" s="1224">
        <v>53</v>
      </c>
      <c r="V29" s="1227">
        <v>757</v>
      </c>
      <c r="W29" s="1227">
        <v>1263</v>
      </c>
      <c r="X29" s="1227">
        <v>2639</v>
      </c>
      <c r="Y29" s="1233">
        <f>Y28</f>
        <v>156065</v>
      </c>
      <c r="Z29" s="517">
        <f>-1976.3*Table1[[#This Row],[Year]]+4130497.79</f>
        <v>152205.89000000013</v>
      </c>
      <c r="AC29" s="517">
        <v>2013</v>
      </c>
      <c r="AD29" s="1414">
        <f>Table1[[#This Row],[Electricity]]/Table1[[#This Row],[Gasoline]]</f>
        <v>6.2185627783295422E-2</v>
      </c>
      <c r="AE29" s="1414">
        <f>Table1[[#This Row],[Hydrogen]]/Table1[[#This Row],[Gasoline]]</f>
        <v>3.3960208887322588E-4</v>
      </c>
    </row>
    <row r="30" spans="2:31" x14ac:dyDescent="0.2">
      <c r="B30" s="1268">
        <v>2031</v>
      </c>
      <c r="C30" s="1274">
        <v>1</v>
      </c>
      <c r="D30" s="1265">
        <v>1</v>
      </c>
      <c r="E30" s="1265">
        <v>1</v>
      </c>
      <c r="F30" s="1265">
        <v>1</v>
      </c>
      <c r="G30" s="1265">
        <v>1</v>
      </c>
      <c r="H30" s="1265">
        <v>1</v>
      </c>
      <c r="I30" s="1265">
        <v>1</v>
      </c>
      <c r="J30" s="1419">
        <f t="shared" si="0"/>
        <v>0.60242359916581223</v>
      </c>
      <c r="K30" s="1420">
        <f t="shared" si="1"/>
        <v>6.5514529854001074E-4</v>
      </c>
      <c r="M30" s="1415">
        <f t="shared" si="3"/>
        <v>0.21000000000000005</v>
      </c>
      <c r="N30" s="1400">
        <f t="shared" si="2"/>
        <v>3.0637810156220375E-2</v>
      </c>
      <c r="P30" s="1241">
        <v>2014</v>
      </c>
      <c r="Q30" s="1227">
        <f>25602/plugs_per_station</f>
        <v>12801</v>
      </c>
      <c r="R30" s="1227">
        <v>2931</v>
      </c>
      <c r="S30" s="1228"/>
      <c r="T30" s="1230">
        <v>103</v>
      </c>
      <c r="U30" s="1224">
        <v>51</v>
      </c>
      <c r="V30" s="1227">
        <v>783</v>
      </c>
      <c r="W30" s="1227">
        <v>1495</v>
      </c>
      <c r="X30" s="1227">
        <v>2840</v>
      </c>
      <c r="Y30" s="1233">
        <f t="shared" ref="Y30:Y66" si="4">Y29</f>
        <v>156065</v>
      </c>
      <c r="Z30" s="517">
        <f>-1976.3*Table1[[#This Row],[Year]]+4130497.79</f>
        <v>150229.59000000032</v>
      </c>
      <c r="AC30" s="517">
        <v>2014</v>
      </c>
      <c r="AD30" s="1414">
        <f>Table1[[#This Row],[Electricity]]/Table1[[#This Row],[Gasoline]]</f>
        <v>8.2023515842757827E-2</v>
      </c>
      <c r="AE30" s="1414">
        <f>Table1[[#This Row],[Hydrogen]]/Table1[[#This Row],[Gasoline]]</f>
        <v>3.2678691570819853E-4</v>
      </c>
    </row>
    <row r="31" spans="2:31" x14ac:dyDescent="0.2">
      <c r="B31" s="1268">
        <v>2032</v>
      </c>
      <c r="C31" s="1274">
        <v>1</v>
      </c>
      <c r="D31" s="1265">
        <v>1</v>
      </c>
      <c r="E31" s="1265">
        <v>1</v>
      </c>
      <c r="F31" s="1265">
        <v>1</v>
      </c>
      <c r="G31" s="1265">
        <v>1</v>
      </c>
      <c r="H31" s="1265">
        <v>1</v>
      </c>
      <c r="I31" s="1265">
        <v>1</v>
      </c>
      <c r="J31" s="1419">
        <f t="shared" si="0"/>
        <v>0.68958915732970893</v>
      </c>
      <c r="K31" s="1420">
        <f t="shared" si="1"/>
        <v>1.5987206823936864E-3</v>
      </c>
      <c r="M31" s="1415">
        <f t="shared" si="3"/>
        <v>0.22000000000000006</v>
      </c>
      <c r="N31" s="1400">
        <f t="shared" si="2"/>
        <v>3.6787242882874376E-2</v>
      </c>
      <c r="P31" s="1241">
        <v>2015</v>
      </c>
      <c r="Q31" s="1231">
        <f>30945/plugs_per_station</f>
        <v>15472.5</v>
      </c>
      <c r="R31" s="1231">
        <v>3594</v>
      </c>
      <c r="S31" s="1228"/>
      <c r="T31" s="1231">
        <v>111</v>
      </c>
      <c r="U31" s="1231">
        <v>45</v>
      </c>
      <c r="V31" s="1231">
        <v>721</v>
      </c>
      <c r="W31" s="1231">
        <v>1563</v>
      </c>
      <c r="X31" s="1231">
        <v>2990</v>
      </c>
      <c r="Y31" s="1233">
        <f t="shared" si="4"/>
        <v>156065</v>
      </c>
      <c r="Z31" s="517">
        <f>-1976.3*Table1[[#This Row],[Year]]+4130497.79</f>
        <v>148253.29000000004</v>
      </c>
      <c r="AC31" s="517">
        <v>2015</v>
      </c>
      <c r="AD31" s="1414">
        <f>Table1[[#This Row],[Electricity]]/Table1[[#This Row],[Gasoline]]</f>
        <v>9.9141383397943164E-2</v>
      </c>
      <c r="AE31" s="1414">
        <f>Table1[[#This Row],[Hydrogen]]/Table1[[#This Row],[Gasoline]]</f>
        <v>2.8834139621311631E-4</v>
      </c>
    </row>
    <row r="32" spans="2:31" x14ac:dyDescent="0.2">
      <c r="B32" s="1268">
        <v>2033</v>
      </c>
      <c r="C32" s="1274">
        <v>1</v>
      </c>
      <c r="D32" s="1265">
        <v>1</v>
      </c>
      <c r="E32" s="1265">
        <v>1</v>
      </c>
      <c r="F32" s="1265">
        <v>1</v>
      </c>
      <c r="G32" s="1265">
        <v>1</v>
      </c>
      <c r="H32" s="1265">
        <v>1</v>
      </c>
      <c r="I32" s="1265">
        <v>1</v>
      </c>
      <c r="J32" s="1419">
        <f t="shared" si="0"/>
        <v>0.74346468922347331</v>
      </c>
      <c r="K32" s="1420">
        <f t="shared" si="1"/>
        <v>2.3398183475694901E-3</v>
      </c>
      <c r="M32" s="1415">
        <f t="shared" si="3"/>
        <v>0.23000000000000007</v>
      </c>
      <c r="N32" s="1400">
        <f t="shared" si="2"/>
        <v>4.3786973799347463E-2</v>
      </c>
      <c r="P32" s="1241">
        <v>2016</v>
      </c>
      <c r="Q32" s="1231">
        <f>42029/plugs_per_station</f>
        <v>21014.5</v>
      </c>
      <c r="R32" s="1231">
        <v>3665</v>
      </c>
      <c r="S32" s="1228"/>
      <c r="T32" s="1231">
        <v>140</v>
      </c>
      <c r="U32" s="1231">
        <v>54</v>
      </c>
      <c r="V32" s="1231">
        <v>697</v>
      </c>
      <c r="W32" s="1231">
        <v>1725</v>
      </c>
      <c r="X32" s="1231">
        <v>3090</v>
      </c>
      <c r="Y32" s="1233">
        <f t="shared" si="4"/>
        <v>156065</v>
      </c>
      <c r="Z32" s="517">
        <f>-1976.3*Table1[[#This Row],[Year]]+4130497.79</f>
        <v>146276.99000000022</v>
      </c>
      <c r="AC32" s="517">
        <v>2016</v>
      </c>
      <c r="AD32" s="1414">
        <f>Table1[[#This Row],[Electricity]]/Table1[[#This Row],[Gasoline]]</f>
        <v>0.13465222823823406</v>
      </c>
      <c r="AE32" s="1414">
        <f>Table1[[#This Row],[Hydrogen]]/Table1[[#This Row],[Gasoline]]</f>
        <v>3.4600967545573961E-4</v>
      </c>
    </row>
    <row r="33" spans="2:32" x14ac:dyDescent="0.2">
      <c r="B33" s="1268">
        <v>2034</v>
      </c>
      <c r="C33" s="1274">
        <v>1</v>
      </c>
      <c r="D33" s="1265">
        <v>1</v>
      </c>
      <c r="E33" s="1265">
        <v>1</v>
      </c>
      <c r="F33" s="1265">
        <v>1</v>
      </c>
      <c r="G33" s="1265">
        <v>1</v>
      </c>
      <c r="H33" s="1265">
        <v>1</v>
      </c>
      <c r="I33" s="1265">
        <v>1</v>
      </c>
      <c r="J33" s="1419">
        <f t="shared" si="0"/>
        <v>0.79268571663322196</v>
      </c>
      <c r="K33" s="1420">
        <f t="shared" si="1"/>
        <v>4.5593345334435922E-3</v>
      </c>
      <c r="M33" s="1415">
        <f t="shared" si="3"/>
        <v>0.24000000000000007</v>
      </c>
      <c r="N33" s="1400">
        <f t="shared" si="2"/>
        <v>5.1699799821003561E-2</v>
      </c>
      <c r="P33" s="1241">
        <v>2017</v>
      </c>
      <c r="Q33" s="1229">
        <f>50627/plugs_per_station</f>
        <v>25313.5</v>
      </c>
      <c r="R33" s="601"/>
      <c r="S33" s="601"/>
      <c r="T33" s="601"/>
      <c r="U33" s="1229">
        <v>63</v>
      </c>
      <c r="V33" s="601"/>
      <c r="W33" s="601"/>
      <c r="X33" s="601"/>
      <c r="Y33" s="1233">
        <f t="shared" si="4"/>
        <v>156065</v>
      </c>
      <c r="Z33" s="517">
        <f>-1976.3*Table1[[#This Row],[Year]]+4130497.79</f>
        <v>144300.68999999994</v>
      </c>
      <c r="AC33" s="517">
        <v>2017</v>
      </c>
      <c r="AD33" s="1414">
        <f>Table1[[#This Row],[Electricity]]/Table1[[#This Row],[Gasoline]]</f>
        <v>0.16219844295646044</v>
      </c>
      <c r="AE33" s="1414">
        <f>Table1[[#This Row],[Hydrogen]]/Table1[[#This Row],[Gasoline]]</f>
        <v>4.0367795469836286E-4</v>
      </c>
    </row>
    <row r="34" spans="2:32" x14ac:dyDescent="0.2">
      <c r="B34" s="1268">
        <v>2035</v>
      </c>
      <c r="C34" s="1274">
        <v>1</v>
      </c>
      <c r="D34" s="1265">
        <v>1</v>
      </c>
      <c r="E34" s="1265">
        <v>1</v>
      </c>
      <c r="F34" s="1265">
        <v>1</v>
      </c>
      <c r="G34" s="1265">
        <v>1</v>
      </c>
      <c r="H34" s="1265">
        <v>1</v>
      </c>
      <c r="I34" s="1265">
        <v>1</v>
      </c>
      <c r="J34" s="1419">
        <f t="shared" si="0"/>
        <v>0.85612030212542312</v>
      </c>
      <c r="K34" s="1420">
        <f t="shared" si="1"/>
        <v>6.1277085437277685E-3</v>
      </c>
      <c r="M34" s="1415">
        <f t="shared" si="3"/>
        <v>0.25000000000000006</v>
      </c>
      <c r="N34" s="1400">
        <f t="shared" si="2"/>
        <v>6.0586937186524262E-2</v>
      </c>
      <c r="P34" s="1241">
        <v>2018</v>
      </c>
      <c r="Q34" s="1229">
        <f>61067/plugs_per_station</f>
        <v>30533.5</v>
      </c>
      <c r="R34" s="601"/>
      <c r="S34" s="601"/>
      <c r="T34" s="601"/>
      <c r="U34" s="1229">
        <v>41</v>
      </c>
      <c r="V34" s="601"/>
      <c r="W34" s="601"/>
      <c r="X34" s="601"/>
      <c r="Y34" s="1233">
        <f t="shared" si="4"/>
        <v>156065</v>
      </c>
      <c r="Z34" s="517">
        <f>-1976.3*Table1[[#This Row],[Year]]+4130497.79</f>
        <v>142324.39000000013</v>
      </c>
      <c r="AC34" s="517">
        <v>2018</v>
      </c>
      <c r="AD34" s="1414">
        <f>Table1[[#This Row],[Electricity]]/Table1[[#This Row],[Gasoline]]</f>
        <v>0.19564604491718193</v>
      </c>
      <c r="AE34" s="1414">
        <f>Table1[[#This Row],[Hydrogen]]/Table1[[#This Row],[Gasoline]]</f>
        <v>2.6271104988306155E-4</v>
      </c>
    </row>
    <row r="35" spans="2:32" x14ac:dyDescent="0.2">
      <c r="B35" s="1268">
        <v>2036</v>
      </c>
      <c r="C35" s="1274">
        <v>1</v>
      </c>
      <c r="D35" s="1265">
        <v>1</v>
      </c>
      <c r="E35" s="1265">
        <v>1</v>
      </c>
      <c r="F35" s="1265">
        <v>1</v>
      </c>
      <c r="G35" s="1265">
        <v>1</v>
      </c>
      <c r="H35" s="1265">
        <v>1</v>
      </c>
      <c r="I35" s="1265">
        <v>1</v>
      </c>
      <c r="J35" s="1419">
        <f t="shared" si="0"/>
        <v>0.89088299804314675</v>
      </c>
      <c r="K35" s="1420">
        <f t="shared" si="1"/>
        <v>1.0430976069530742E-2</v>
      </c>
      <c r="M35" s="1415">
        <f t="shared" si="3"/>
        <v>0.26000000000000006</v>
      </c>
      <c r="N35" s="1400">
        <f t="shared" si="2"/>
        <v>7.0507146135246307E-2</v>
      </c>
      <c r="P35" s="1241">
        <v>2019</v>
      </c>
      <c r="Q35" s="1229">
        <f>$R$109+P35*$R$110</f>
        <v>32521.333333333954</v>
      </c>
      <c r="R35" s="601"/>
      <c r="S35" s="601"/>
      <c r="T35" s="601"/>
      <c r="U35" s="1229">
        <v>57</v>
      </c>
      <c r="V35" s="601"/>
      <c r="W35" s="601"/>
      <c r="X35" s="601"/>
      <c r="Y35" s="1233">
        <f t="shared" si="4"/>
        <v>156065</v>
      </c>
      <c r="Z35" s="517">
        <f>-1976.3*Table1[[#This Row],[Year]]+4130497.79</f>
        <v>140348.09000000032</v>
      </c>
      <c r="AC35" s="517">
        <v>2019</v>
      </c>
      <c r="AD35" s="1414">
        <f>Table1[[#This Row],[Electricity]]/Table1[[#This Row],[Gasoline]]</f>
        <v>0.20838325911212607</v>
      </c>
      <c r="AE35" s="1414">
        <f>Table1[[#This Row],[Hydrogen]]/Table1[[#This Row],[Gasoline]]</f>
        <v>3.652324352032807E-4</v>
      </c>
    </row>
    <row r="36" spans="2:32" x14ac:dyDescent="0.2">
      <c r="B36" s="1268">
        <v>2037</v>
      </c>
      <c r="C36" s="1274">
        <v>1</v>
      </c>
      <c r="D36" s="1265">
        <v>1</v>
      </c>
      <c r="E36" s="1265">
        <v>1</v>
      </c>
      <c r="F36" s="1265">
        <v>1</v>
      </c>
      <c r="G36" s="1265">
        <v>1</v>
      </c>
      <c r="H36" s="1265">
        <v>1</v>
      </c>
      <c r="I36" s="1265">
        <v>1</v>
      </c>
      <c r="J36" s="1419">
        <f t="shared" si="0"/>
        <v>0.93173475910294257</v>
      </c>
      <c r="K36" s="1420">
        <f t="shared" si="1"/>
        <v>1.665589092984994E-2</v>
      </c>
      <c r="M36" s="1415">
        <f t="shared" si="3"/>
        <v>0.27000000000000007</v>
      </c>
      <c r="N36" s="1400">
        <f t="shared" si="2"/>
        <v>8.1515784905052846E-2</v>
      </c>
      <c r="P36" s="1241">
        <v>2020</v>
      </c>
      <c r="Q36" s="1229">
        <f t="shared" ref="Q36:Q66" si="5">$R$109+P36*$R$110</f>
        <v>36275.06666666735</v>
      </c>
      <c r="R36" s="878"/>
      <c r="S36" s="878"/>
      <c r="T36" s="878"/>
      <c r="U36" s="1229">
        <v>75</v>
      </c>
      <c r="V36" s="878"/>
      <c r="W36" s="878"/>
      <c r="X36" s="878"/>
      <c r="Y36" s="1233">
        <f t="shared" si="4"/>
        <v>156065</v>
      </c>
      <c r="Z36" s="519">
        <f>-1976.3*Table1[[#This Row],[Year]]+4130497.79</f>
        <v>138371.79000000004</v>
      </c>
      <c r="AA36" s="519"/>
      <c r="AB36" s="519"/>
      <c r="AC36" s="519">
        <v>2020</v>
      </c>
      <c r="AD36" s="1414">
        <f>Table1[[#This Row],[Electricity]]/Table1[[#This Row],[Gasoline]]</f>
        <v>0.23243563045312754</v>
      </c>
      <c r="AE36" s="1414">
        <f>Table1[[#This Row],[Hydrogen]]/Table1[[#This Row],[Gasoline]]</f>
        <v>4.805689936885272E-4</v>
      </c>
      <c r="AF36" s="519"/>
    </row>
    <row r="37" spans="2:32" x14ac:dyDescent="0.2">
      <c r="B37" s="1268">
        <v>2038</v>
      </c>
      <c r="C37" s="1274">
        <v>1</v>
      </c>
      <c r="D37" s="1265">
        <v>1</v>
      </c>
      <c r="E37" s="1265">
        <v>1</v>
      </c>
      <c r="F37" s="1265">
        <v>1</v>
      </c>
      <c r="G37" s="1265">
        <v>1</v>
      </c>
      <c r="H37" s="1265">
        <v>1</v>
      </c>
      <c r="I37" s="1265">
        <v>1</v>
      </c>
      <c r="J37" s="1419">
        <f t="shared" si="0"/>
        <v>0.95197135907101305</v>
      </c>
      <c r="K37" s="1420">
        <f t="shared" si="1"/>
        <v>2.063547350575257E-2</v>
      </c>
      <c r="M37" s="1415">
        <f t="shared" si="3"/>
        <v>0.28000000000000008</v>
      </c>
      <c r="N37" s="1400">
        <f t="shared" si="2"/>
        <v>9.3663799913688631E-2</v>
      </c>
      <c r="P37" s="1241">
        <v>2021</v>
      </c>
      <c r="Q37" s="1229">
        <f t="shared" si="5"/>
        <v>40028.800000000745</v>
      </c>
      <c r="R37" s="601"/>
      <c r="S37" s="601"/>
      <c r="T37" s="601"/>
      <c r="U37" s="1229">
        <v>111</v>
      </c>
      <c r="V37" s="601"/>
      <c r="W37" s="601"/>
      <c r="X37" s="601"/>
      <c r="Y37" s="1233">
        <f t="shared" si="4"/>
        <v>156065</v>
      </c>
      <c r="Z37" s="517">
        <f>-1976.3*Table1[[#This Row],[Year]]+4130497.79</f>
        <v>136395.49000000022</v>
      </c>
      <c r="AC37" s="517">
        <v>2021</v>
      </c>
      <c r="AD37" s="1414">
        <f>Table1[[#This Row],[Electricity]]/Table1[[#This Row],[Gasoline]]</f>
        <v>0.25648800179412901</v>
      </c>
      <c r="AE37" s="1414">
        <f>Table1[[#This Row],[Hydrogen]]/Table1[[#This Row],[Gasoline]]</f>
        <v>7.1124211065902031E-4</v>
      </c>
    </row>
    <row r="38" spans="2:32" x14ac:dyDescent="0.2">
      <c r="B38" s="1268">
        <v>2039</v>
      </c>
      <c r="C38" s="1274">
        <v>1</v>
      </c>
      <c r="D38" s="1265">
        <v>1</v>
      </c>
      <c r="E38" s="1265">
        <v>1</v>
      </c>
      <c r="F38" s="1265">
        <v>1</v>
      </c>
      <c r="G38" s="1265">
        <v>1</v>
      </c>
      <c r="H38" s="1265">
        <v>1</v>
      </c>
      <c r="I38" s="1265">
        <v>1</v>
      </c>
      <c r="J38" s="1419">
        <f t="shared" si="0"/>
        <v>0.96732091996204717</v>
      </c>
      <c r="K38" s="1420">
        <f t="shared" si="1"/>
        <v>3.0637810156220375E-2</v>
      </c>
      <c r="M38" s="1415">
        <f t="shared" si="3"/>
        <v>0.29000000000000009</v>
      </c>
      <c r="N38" s="1400">
        <f t="shared" si="2"/>
        <v>0.10699666186542625</v>
      </c>
      <c r="P38" s="1241">
        <v>2022</v>
      </c>
      <c r="Q38" s="1229">
        <f t="shared" si="5"/>
        <v>43782.53333333414</v>
      </c>
      <c r="R38" s="601"/>
      <c r="S38" s="601"/>
      <c r="T38" s="601"/>
      <c r="U38" s="1229">
        <v>161</v>
      </c>
      <c r="V38" s="601"/>
      <c r="W38" s="601"/>
      <c r="X38" s="601"/>
      <c r="Y38" s="1233">
        <f t="shared" si="4"/>
        <v>156065</v>
      </c>
      <c r="Z38" s="517">
        <f>-1976.3*Table1[[#This Row],[Year]]+4130497.79</f>
        <v>134419.18999999994</v>
      </c>
      <c r="AC38" s="517">
        <v>2022</v>
      </c>
      <c r="AD38" s="1414">
        <f>Table1[[#This Row],[Electricity]]/Table1[[#This Row],[Gasoline]]</f>
        <v>0.28054037313513047</v>
      </c>
      <c r="AE38" s="1414">
        <f>Table1[[#This Row],[Hydrogen]]/Table1[[#This Row],[Gasoline]]</f>
        <v>1.0316214397847051E-3</v>
      </c>
    </row>
    <row r="39" spans="2:32" x14ac:dyDescent="0.2">
      <c r="B39" s="1268">
        <v>2040</v>
      </c>
      <c r="C39" s="1274">
        <v>1</v>
      </c>
      <c r="D39" s="1265">
        <v>1</v>
      </c>
      <c r="E39" s="1265">
        <v>1</v>
      </c>
      <c r="F39" s="1265">
        <v>1</v>
      </c>
      <c r="G39" s="1265">
        <v>1</v>
      </c>
      <c r="H39" s="1265">
        <v>1</v>
      </c>
      <c r="I39" s="1265">
        <v>1</v>
      </c>
      <c r="J39" s="1419">
        <f t="shared" si="0"/>
        <v>0.9828519181996197</v>
      </c>
      <c r="K39" s="1420">
        <f t="shared" si="1"/>
        <v>4.3786973799347463E-2</v>
      </c>
      <c r="M39" s="1415">
        <f t="shared" si="3"/>
        <v>0.3000000000000001</v>
      </c>
      <c r="N39" s="1400">
        <f t="shared" si="2"/>
        <v>0.12155326065006883</v>
      </c>
      <c r="P39" s="1241">
        <v>2023</v>
      </c>
      <c r="Q39" s="1229">
        <f t="shared" si="5"/>
        <v>47536.266666667536</v>
      </c>
      <c r="R39" s="601"/>
      <c r="S39" s="601"/>
      <c r="T39" s="601"/>
      <c r="U39" s="1229">
        <v>246</v>
      </c>
      <c r="V39" s="601"/>
      <c r="W39" s="601"/>
      <c r="X39" s="601"/>
      <c r="Y39" s="1233">
        <f t="shared" si="4"/>
        <v>156065</v>
      </c>
      <c r="Z39" s="517">
        <f>-1976.3*Table1[[#This Row],[Year]]+4130497.79</f>
        <v>132442.89000000013</v>
      </c>
      <c r="AC39" s="517">
        <v>2023</v>
      </c>
      <c r="AD39" s="1414">
        <f>Table1[[#This Row],[Electricity]]/Table1[[#This Row],[Gasoline]]</f>
        <v>0.30459274447613199</v>
      </c>
      <c r="AE39" s="1414">
        <f>Table1[[#This Row],[Hydrogen]]/Table1[[#This Row],[Gasoline]]</f>
        <v>1.5762662992983693E-3</v>
      </c>
    </row>
    <row r="40" spans="2:32" x14ac:dyDescent="0.2">
      <c r="B40" s="1268">
        <v>2041</v>
      </c>
      <c r="C40" s="1274">
        <v>1</v>
      </c>
      <c r="D40" s="1265">
        <v>1</v>
      </c>
      <c r="E40" s="1265">
        <v>1</v>
      </c>
      <c r="F40" s="1265">
        <v>1</v>
      </c>
      <c r="G40" s="1265">
        <v>1</v>
      </c>
      <c r="H40" s="1265">
        <v>1</v>
      </c>
      <c r="I40" s="1265">
        <v>1</v>
      </c>
      <c r="J40" s="1419">
        <f t="shared" si="0"/>
        <v>0.98936620944626497</v>
      </c>
      <c r="K40" s="1420">
        <f t="shared" si="1"/>
        <v>6.0586937186524262E-2</v>
      </c>
      <c r="M40" s="1415">
        <f t="shared" si="3"/>
        <v>0.31000000000000011</v>
      </c>
      <c r="N40" s="1400">
        <f t="shared" si="2"/>
        <v>0.13736477520959006</v>
      </c>
      <c r="P40" s="1241">
        <v>2024</v>
      </c>
      <c r="Q40" s="1229">
        <f t="shared" si="5"/>
        <v>51290.000000000931</v>
      </c>
      <c r="R40" s="601"/>
      <c r="S40" s="601"/>
      <c r="T40" s="601"/>
      <c r="U40" s="1229">
        <v>967</v>
      </c>
      <c r="V40" s="601"/>
      <c r="W40" s="601"/>
      <c r="X40" s="601"/>
      <c r="Y40" s="1233">
        <f t="shared" si="4"/>
        <v>156065</v>
      </c>
      <c r="Z40" s="517">
        <f>-1976.3*Table1[[#This Row],[Year]]+4130497.79</f>
        <v>130466.59000000032</v>
      </c>
      <c r="AC40" s="517">
        <v>2024</v>
      </c>
      <c r="AD40" s="1414">
        <f>Table1[[#This Row],[Electricity]]/Table1[[#This Row],[Gasoline]]</f>
        <v>0.32864511581713346</v>
      </c>
      <c r="AE40" s="1414">
        <f>Table1[[#This Row],[Hydrogen]]/Table1[[#This Row],[Gasoline]]</f>
        <v>6.1961362252907441E-3</v>
      </c>
    </row>
    <row r="41" spans="2:32" x14ac:dyDescent="0.2">
      <c r="B41" s="1268">
        <v>2042</v>
      </c>
      <c r="C41" s="1274">
        <v>1</v>
      </c>
      <c r="D41" s="1265">
        <v>1</v>
      </c>
      <c r="E41" s="1265">
        <v>1</v>
      </c>
      <c r="F41" s="1265">
        <v>1</v>
      </c>
      <c r="G41" s="1265">
        <v>1</v>
      </c>
      <c r="H41" s="1265">
        <v>1</v>
      </c>
      <c r="I41" s="1265">
        <v>1</v>
      </c>
      <c r="J41" s="1419">
        <f t="shared" si="0"/>
        <v>0.9951942788280157</v>
      </c>
      <c r="K41" s="1420">
        <f t="shared" si="1"/>
        <v>8.1515784905052846E-2</v>
      </c>
      <c r="M41" s="1415">
        <f t="shared" si="3"/>
        <v>0.32000000000000012</v>
      </c>
      <c r="N41" s="1400">
        <f t="shared" ref="N41:N59" si="6">WEIBULL(M41,$N$4,$N$5,$N$6)</f>
        <v>0.15445353795437128</v>
      </c>
      <c r="P41" s="1241">
        <v>2025</v>
      </c>
      <c r="Q41" s="1229">
        <f t="shared" si="5"/>
        <v>55043.733333334327</v>
      </c>
      <c r="R41" s="601"/>
      <c r="S41" s="601"/>
      <c r="T41" s="601"/>
      <c r="U41" s="1229">
        <v>1975</v>
      </c>
      <c r="V41" s="601"/>
      <c r="W41" s="601"/>
      <c r="X41" s="601"/>
      <c r="Y41" s="1233">
        <f t="shared" si="4"/>
        <v>156065</v>
      </c>
      <c r="Z41" s="517">
        <f>-1976.3*Table1[[#This Row],[Year]]+4130497.79</f>
        <v>128490.29000000004</v>
      </c>
      <c r="AC41" s="517">
        <v>2025</v>
      </c>
      <c r="AD41" s="1414">
        <f>Table1[[#This Row],[Electricity]]/Table1[[#This Row],[Gasoline]]</f>
        <v>0.35269748715813493</v>
      </c>
      <c r="AE41" s="1414">
        <f>Table1[[#This Row],[Hydrogen]]/Table1[[#This Row],[Gasoline]]</f>
        <v>1.265498350046455E-2</v>
      </c>
    </row>
    <row r="42" spans="2:32" x14ac:dyDescent="0.2">
      <c r="B42" s="1268">
        <v>2043</v>
      </c>
      <c r="C42" s="1274">
        <v>1</v>
      </c>
      <c r="D42" s="1265">
        <v>1</v>
      </c>
      <c r="E42" s="1265">
        <v>1</v>
      </c>
      <c r="F42" s="1265">
        <v>1</v>
      </c>
      <c r="G42" s="1265">
        <v>1</v>
      </c>
      <c r="H42" s="1265">
        <v>1</v>
      </c>
      <c r="I42" s="1265">
        <v>1</v>
      </c>
      <c r="J42" s="1419">
        <f t="shared" si="0"/>
        <v>0.99732126057789017</v>
      </c>
      <c r="K42" s="1420">
        <f t="shared" si="1"/>
        <v>0.10699666186542625</v>
      </c>
      <c r="M42" s="1415">
        <f t="shared" si="3"/>
        <v>0.33000000000000013</v>
      </c>
      <c r="N42" s="1400">
        <f t="shared" si="6"/>
        <v>0.17283191670766812</v>
      </c>
      <c r="P42" s="1241">
        <v>2026</v>
      </c>
      <c r="Q42" s="1229">
        <f t="shared" si="5"/>
        <v>58797.466666666791</v>
      </c>
      <c r="R42" s="601"/>
      <c r="S42" s="601"/>
      <c r="T42" s="601"/>
      <c r="U42" s="1229">
        <v>3242.3900000000003</v>
      </c>
      <c r="V42" s="601"/>
      <c r="W42" s="601"/>
      <c r="X42" s="601"/>
      <c r="Y42" s="1233">
        <f t="shared" si="4"/>
        <v>156065</v>
      </c>
      <c r="Z42" s="517">
        <f>-1976.3*Table1[[#This Row],[Year]]+4130497.79</f>
        <v>126513.99000000022</v>
      </c>
      <c r="AC42" s="517">
        <v>2026</v>
      </c>
      <c r="AD42" s="1414">
        <f>Table1[[#This Row],[Electricity]]/Table1[[#This Row],[Gasoline]]</f>
        <v>0.37674985849913045</v>
      </c>
      <c r="AE42" s="1414">
        <f>Table1[[#This Row],[Hydrogen]]/Table1[[#This Row],[Gasoline]]</f>
        <v>2.0775894659276584E-2</v>
      </c>
    </row>
    <row r="43" spans="2:32" x14ac:dyDescent="0.2">
      <c r="B43" s="1268">
        <v>2044</v>
      </c>
      <c r="C43" s="1274">
        <v>1</v>
      </c>
      <c r="D43" s="1265">
        <v>1</v>
      </c>
      <c r="E43" s="1265">
        <v>1</v>
      </c>
      <c r="F43" s="1265">
        <v>1</v>
      </c>
      <c r="G43" s="1265">
        <v>1</v>
      </c>
      <c r="H43" s="1265">
        <v>1</v>
      </c>
      <c r="I43" s="1265">
        <v>1</v>
      </c>
      <c r="J43" s="1419">
        <f t="shared" si="0"/>
        <v>0.99857502356180761</v>
      </c>
      <c r="K43" s="1420">
        <f t="shared" si="1"/>
        <v>0.12155326065006883</v>
      </c>
      <c r="M43" s="1415">
        <f t="shared" si="3"/>
        <v>0.34000000000000014</v>
      </c>
      <c r="N43" s="1400">
        <f t="shared" si="6"/>
        <v>0.19250124041164726</v>
      </c>
      <c r="P43" s="1241">
        <v>2027</v>
      </c>
      <c r="Q43" s="1229">
        <f t="shared" si="5"/>
        <v>62551.200000000186</v>
      </c>
      <c r="R43" s="601"/>
      <c r="S43" s="601"/>
      <c r="T43" s="601"/>
      <c r="U43" s="1229">
        <v>4626.9699999999993</v>
      </c>
      <c r="V43" s="601"/>
      <c r="W43" s="601"/>
      <c r="X43" s="601"/>
      <c r="Y43" s="1233">
        <f t="shared" si="4"/>
        <v>156065</v>
      </c>
      <c r="Z43" s="517">
        <f>-1976.3*Table1[[#This Row],[Year]]+4130497.79</f>
        <v>124537.68999999994</v>
      </c>
      <c r="AC43" s="517">
        <v>2027</v>
      </c>
      <c r="AD43" s="1414">
        <f>Table1[[#This Row],[Electricity]]/Table1[[#This Row],[Gasoline]]</f>
        <v>0.40080222984013192</v>
      </c>
      <c r="AE43" s="1414">
        <f>Table1[[#This Row],[Hydrogen]]/Table1[[#This Row],[Gasoline]]</f>
        <v>2.9647710889693393E-2</v>
      </c>
    </row>
    <row r="44" spans="2:32" x14ac:dyDescent="0.2">
      <c r="B44" s="1268">
        <v>2045</v>
      </c>
      <c r="C44" s="1274">
        <v>1</v>
      </c>
      <c r="D44" s="1265">
        <v>1</v>
      </c>
      <c r="E44" s="1265">
        <v>1</v>
      </c>
      <c r="F44" s="1265">
        <v>1</v>
      </c>
      <c r="G44" s="1265">
        <v>1</v>
      </c>
      <c r="H44" s="1265">
        <v>1</v>
      </c>
      <c r="I44" s="1265">
        <v>1</v>
      </c>
      <c r="J44" s="1419">
        <f t="shared" si="0"/>
        <v>0.99949620008360773</v>
      </c>
      <c r="K44" s="1420">
        <f t="shared" si="1"/>
        <v>0.15445353795437128</v>
      </c>
      <c r="M44" s="1415">
        <f t="shared" si="3"/>
        <v>0.35000000000000014</v>
      </c>
      <c r="N44" s="1400">
        <f t="shared" si="6"/>
        <v>0.21345079778654535</v>
      </c>
      <c r="P44" s="1241">
        <v>2028</v>
      </c>
      <c r="Q44" s="1229">
        <f t="shared" si="5"/>
        <v>66304.933333333582</v>
      </c>
      <c r="R44" s="601"/>
      <c r="S44" s="601"/>
      <c r="T44" s="601"/>
      <c r="U44" s="1229">
        <v>6873.7499999999991</v>
      </c>
      <c r="V44" s="601"/>
      <c r="W44" s="601"/>
      <c r="X44" s="601"/>
      <c r="Y44" s="1233">
        <f t="shared" si="4"/>
        <v>156065</v>
      </c>
      <c r="Z44" s="517">
        <f>-1976.3*Table1[[#This Row],[Year]]+4130497.79</f>
        <v>122561.39000000013</v>
      </c>
      <c r="AC44" s="517">
        <v>2028</v>
      </c>
      <c r="AD44" s="1414">
        <f>Table1[[#This Row],[Electricity]]/Table1[[#This Row],[Gasoline]]</f>
        <v>0.42485460118113338</v>
      </c>
      <c r="AE44" s="1414">
        <f>Table1[[#This Row],[Hydrogen]]/Table1[[#This Row],[Gasoline]]</f>
        <v>4.4044148271553514E-2</v>
      </c>
    </row>
    <row r="45" spans="2:32" x14ac:dyDescent="0.2">
      <c r="B45" s="1268">
        <v>2046</v>
      </c>
      <c r="C45" s="1274">
        <v>1</v>
      </c>
      <c r="D45" s="1265">
        <v>1</v>
      </c>
      <c r="E45" s="1265">
        <v>1</v>
      </c>
      <c r="F45" s="1265">
        <v>1</v>
      </c>
      <c r="G45" s="1265">
        <v>1</v>
      </c>
      <c r="H45" s="1265">
        <v>1</v>
      </c>
      <c r="I45" s="1265">
        <v>1</v>
      </c>
      <c r="J45" s="1419">
        <f t="shared" si="0"/>
        <v>0.99976409939337041</v>
      </c>
      <c r="K45" s="1420">
        <f t="shared" si="1"/>
        <v>0.19250124041164726</v>
      </c>
      <c r="M45" s="1415">
        <f t="shared" si="3"/>
        <v>0.36000000000000015</v>
      </c>
      <c r="N45" s="1400">
        <f t="shared" si="6"/>
        <v>0.23565694062183914</v>
      </c>
      <c r="P45" s="1241">
        <v>2029</v>
      </c>
      <c r="Q45" s="1229">
        <f t="shared" si="5"/>
        <v>70058.666666666977</v>
      </c>
      <c r="R45" s="601"/>
      <c r="S45" s="601"/>
      <c r="T45" s="601"/>
      <c r="U45" s="1229">
        <v>8874.9</v>
      </c>
      <c r="V45" s="601"/>
      <c r="W45" s="601"/>
      <c r="X45" s="601"/>
      <c r="Y45" s="1233">
        <f t="shared" si="4"/>
        <v>156065</v>
      </c>
      <c r="Z45" s="517">
        <f>-1976.3*Table1[[#This Row],[Year]]+4130497.79</f>
        <v>120585.09000000032</v>
      </c>
      <c r="AC45" s="517">
        <v>2029</v>
      </c>
      <c r="AD45" s="1414">
        <f>Table1[[#This Row],[Electricity]]/Table1[[#This Row],[Gasoline]]</f>
        <v>0.44890697252213485</v>
      </c>
      <c r="AE45" s="1414">
        <f>Table1[[#This Row],[Hydrogen]]/Table1[[#This Row],[Gasoline]]</f>
        <v>5.6866690161150799E-2</v>
      </c>
    </row>
    <row r="46" spans="2:32" x14ac:dyDescent="0.2">
      <c r="B46" s="1268">
        <v>2047</v>
      </c>
      <c r="C46" s="1274">
        <v>1</v>
      </c>
      <c r="D46" s="1265">
        <v>1</v>
      </c>
      <c r="E46" s="1265">
        <v>1</v>
      </c>
      <c r="F46" s="1265">
        <v>1</v>
      </c>
      <c r="G46" s="1265">
        <v>1</v>
      </c>
      <c r="H46" s="1265">
        <v>1</v>
      </c>
      <c r="I46" s="1265">
        <v>1</v>
      </c>
      <c r="J46" s="1419">
        <f t="shared" si="0"/>
        <v>0.99993194033152688</v>
      </c>
      <c r="K46" s="1420">
        <f t="shared" si="1"/>
        <v>0.23565694062183914</v>
      </c>
      <c r="M46" s="1415">
        <f t="shared" si="3"/>
        <v>0.37000000000000016</v>
      </c>
      <c r="N46" s="1400">
        <f t="shared" si="6"/>
        <v>0.25908232520512747</v>
      </c>
      <c r="P46" s="1241">
        <v>2030</v>
      </c>
      <c r="Q46" s="1229">
        <f t="shared" si="5"/>
        <v>73812.400000000373</v>
      </c>
      <c r="R46" s="601"/>
      <c r="S46" s="601"/>
      <c r="T46" s="601"/>
      <c r="U46" s="1229">
        <v>11075.6</v>
      </c>
      <c r="V46" s="601"/>
      <c r="W46" s="601"/>
      <c r="X46" s="601"/>
      <c r="Y46" s="1233">
        <f t="shared" si="4"/>
        <v>156065</v>
      </c>
      <c r="Z46" s="517">
        <f>-1976.3*Table1[[#This Row],[Year]]+4130497.79</f>
        <v>118608.79000000004</v>
      </c>
      <c r="AC46" s="517">
        <v>2030</v>
      </c>
      <c r="AD46" s="1414">
        <f>Table1[[#This Row],[Electricity]]/Table1[[#This Row],[Gasoline]]</f>
        <v>0.47295934386313632</v>
      </c>
      <c r="AE46" s="1414">
        <f>Table1[[#This Row],[Hydrogen]]/Table1[[#This Row],[Gasoline]]</f>
        <v>7.0967865953288703E-2</v>
      </c>
    </row>
    <row r="47" spans="2:32" x14ac:dyDescent="0.2">
      <c r="B47" s="1268">
        <v>2048</v>
      </c>
      <c r="C47" s="1274">
        <v>1</v>
      </c>
      <c r="D47" s="1265">
        <v>1</v>
      </c>
      <c r="E47" s="1265">
        <v>1</v>
      </c>
      <c r="F47" s="1265">
        <v>1</v>
      </c>
      <c r="G47" s="1265">
        <v>1</v>
      </c>
      <c r="H47" s="1265">
        <v>1</v>
      </c>
      <c r="I47" s="1265">
        <v>1</v>
      </c>
      <c r="J47" s="1419">
        <f t="shared" si="0"/>
        <v>0.99997239738380339</v>
      </c>
      <c r="K47" s="1420">
        <f t="shared" si="1"/>
        <v>0.25908232520512747</v>
      </c>
      <c r="M47" s="1415">
        <f t="shared" si="3"/>
        <v>0.38000000000000017</v>
      </c>
      <c r="N47" s="1400">
        <f t="shared" si="6"/>
        <v>0.28367532636244841</v>
      </c>
      <c r="P47" s="1241">
        <v>2031</v>
      </c>
      <c r="Q47" s="1229">
        <f t="shared" si="5"/>
        <v>77566.133333333768</v>
      </c>
      <c r="R47" s="601"/>
      <c r="S47" s="601"/>
      <c r="T47" s="601"/>
      <c r="U47" s="1229">
        <v>13478.789999999997</v>
      </c>
      <c r="V47" s="601"/>
      <c r="W47" s="601"/>
      <c r="X47" s="601"/>
      <c r="Y47" s="1233">
        <f t="shared" si="4"/>
        <v>156065</v>
      </c>
      <c r="Z47" s="517">
        <f>-1976.3*Table1[[#This Row],[Year]]+4130497.79</f>
        <v>116632.49000000022</v>
      </c>
      <c r="AC47" s="517">
        <v>2031</v>
      </c>
      <c r="AD47" s="1414">
        <f>Table1[[#This Row],[Electricity]]/Table1[[#This Row],[Gasoline]]</f>
        <v>0.49701171520413784</v>
      </c>
      <c r="AE47" s="1414">
        <f>Table1[[#This Row],[Hydrogen]]/Table1[[#This Row],[Gasoline]]</f>
        <v>8.6366513952519763E-2</v>
      </c>
    </row>
    <row r="48" spans="2:32" x14ac:dyDescent="0.2">
      <c r="B48" s="1268">
        <v>2049</v>
      </c>
      <c r="C48" s="1274">
        <v>1</v>
      </c>
      <c r="D48" s="1265">
        <v>1</v>
      </c>
      <c r="E48" s="1265">
        <v>1</v>
      </c>
      <c r="F48" s="1265">
        <v>1</v>
      </c>
      <c r="G48" s="1265">
        <v>1</v>
      </c>
      <c r="H48" s="1265">
        <v>1</v>
      </c>
      <c r="I48" s="1265">
        <v>1</v>
      </c>
      <c r="J48" s="1419">
        <f t="shared" si="0"/>
        <v>0.99998948057868242</v>
      </c>
      <c r="K48" s="1420">
        <f t="shared" si="1"/>
        <v>0.30936965849496828</v>
      </c>
      <c r="M48" s="1415">
        <f t="shared" si="3"/>
        <v>0.39000000000000018</v>
      </c>
      <c r="N48" s="1400">
        <f t="shared" si="6"/>
        <v>0.30936965849496828</v>
      </c>
      <c r="P48" s="1241">
        <v>2032</v>
      </c>
      <c r="Q48" s="1229">
        <f t="shared" si="5"/>
        <v>81319.866666667163</v>
      </c>
      <c r="R48" s="601"/>
      <c r="S48" s="601"/>
      <c r="T48" s="601"/>
      <c r="U48" s="1229">
        <v>16001.890000000003</v>
      </c>
      <c r="V48" s="601"/>
      <c r="W48" s="601"/>
      <c r="X48" s="601"/>
      <c r="Y48" s="1233">
        <f t="shared" si="4"/>
        <v>156065</v>
      </c>
      <c r="Z48" s="517">
        <f>-1976.3*Table1[[#This Row],[Year]]+4130497.79</f>
        <v>114656.18999999994</v>
      </c>
      <c r="AC48" s="517">
        <v>2032</v>
      </c>
      <c r="AD48" s="1414">
        <f>Table1[[#This Row],[Electricity]]/Table1[[#This Row],[Gasoline]]</f>
        <v>0.52106408654513925</v>
      </c>
      <c r="AE48" s="1414">
        <f>Table1[[#This Row],[Hydrogen]]/Table1[[#This Row],[Gasoline]]</f>
        <v>0.10253349565886011</v>
      </c>
    </row>
    <row r="49" spans="2:31" ht="13.5" thickBot="1" x14ac:dyDescent="0.25">
      <c r="B49" s="1269">
        <v>2050</v>
      </c>
      <c r="C49" s="1275">
        <v>1</v>
      </c>
      <c r="D49" s="1266">
        <v>1</v>
      </c>
      <c r="E49" s="1266">
        <v>1</v>
      </c>
      <c r="F49" s="1266">
        <v>1</v>
      </c>
      <c r="G49" s="1266">
        <v>1</v>
      </c>
      <c r="H49" s="1266">
        <v>1</v>
      </c>
      <c r="I49" s="1266">
        <v>1</v>
      </c>
      <c r="J49" s="1421">
        <f t="shared" si="0"/>
        <v>0.99999781107499508</v>
      </c>
      <c r="K49" s="1422">
        <f t="shared" si="1"/>
        <v>0.33608423666452697</v>
      </c>
      <c r="M49" s="1415">
        <f t="shared" si="3"/>
        <v>0.40000000000000019</v>
      </c>
      <c r="N49" s="1400">
        <f t="shared" si="6"/>
        <v>0.33608423666452697</v>
      </c>
      <c r="P49" s="1241">
        <v>2033</v>
      </c>
      <c r="Q49" s="1229">
        <f t="shared" si="5"/>
        <v>85073.600000000559</v>
      </c>
      <c r="R49" s="601"/>
      <c r="S49" s="601"/>
      <c r="T49" s="601"/>
      <c r="U49" s="1229">
        <v>18199.889999999996</v>
      </c>
      <c r="V49" s="601"/>
      <c r="W49" s="601"/>
      <c r="X49" s="601"/>
      <c r="Y49" s="1233">
        <f t="shared" si="4"/>
        <v>156065</v>
      </c>
      <c r="Z49" s="517">
        <f>-1976.3*Table1[[#This Row],[Year]]+4130497.79</f>
        <v>112679.89000000013</v>
      </c>
      <c r="AC49" s="517">
        <v>2033</v>
      </c>
      <c r="AD49" s="1414">
        <f>Table1[[#This Row],[Electricity]]/Table1[[#This Row],[Gasoline]]</f>
        <v>0.54511645788614072</v>
      </c>
      <c r="AE49" s="1414">
        <f>Table1[[#This Row],[Hydrogen]]/Table1[[#This Row],[Gasoline]]</f>
        <v>0.11661737096722517</v>
      </c>
    </row>
    <row r="50" spans="2:31" x14ac:dyDescent="0.2">
      <c r="M50" s="1415">
        <f t="shared" si="3"/>
        <v>0.4100000000000002</v>
      </c>
      <c r="N50" s="1400">
        <f t="shared" si="6"/>
        <v>0.36372330804167707</v>
      </c>
      <c r="P50" s="1241">
        <v>2034</v>
      </c>
      <c r="Q50" s="1229">
        <f t="shared" si="5"/>
        <v>88827.333333333954</v>
      </c>
      <c r="R50" s="601"/>
      <c r="S50" s="601"/>
      <c r="T50" s="601"/>
      <c r="U50" s="1229">
        <v>20480.889999999996</v>
      </c>
      <c r="V50" s="601"/>
      <c r="W50" s="601"/>
      <c r="X50" s="601"/>
      <c r="Y50" s="1233">
        <f t="shared" si="4"/>
        <v>156065</v>
      </c>
      <c r="Z50" s="517">
        <f>-1976.3*Table1[[#This Row],[Year]]+4130497.79</f>
        <v>110703.59000000032</v>
      </c>
      <c r="AC50" s="517">
        <v>2034</v>
      </c>
      <c r="AD50" s="1414">
        <f>Table1[[#This Row],[Electricity]]/Table1[[#This Row],[Gasoline]]</f>
        <v>0.56916882922714229</v>
      </c>
      <c r="AE50" s="1414">
        <f>Table1[[#This Row],[Hydrogen]]/Table1[[#This Row],[Gasoline]]</f>
        <v>0.13123307596193892</v>
      </c>
    </row>
    <row r="51" spans="2:31" x14ac:dyDescent="0.2">
      <c r="M51" s="1415">
        <f t="shared" si="3"/>
        <v>0.42000000000000021</v>
      </c>
      <c r="N51" s="1400">
        <f t="shared" si="6"/>
        <v>0.39217687976031146</v>
      </c>
      <c r="P51" s="1241">
        <v>2035</v>
      </c>
      <c r="Q51" s="1229">
        <f t="shared" si="5"/>
        <v>92581.06666666735</v>
      </c>
      <c r="R51" s="601"/>
      <c r="S51" s="601"/>
      <c r="T51" s="601"/>
      <c r="U51" s="1229">
        <v>22921.889999999996</v>
      </c>
      <c r="V51" s="601"/>
      <c r="W51" s="601"/>
      <c r="X51" s="601"/>
      <c r="Y51" s="1233">
        <f t="shared" si="4"/>
        <v>156065</v>
      </c>
      <c r="Z51" s="517">
        <f>-1976.3*Table1[[#This Row],[Year]]+4130497.79</f>
        <v>108727.29000000004</v>
      </c>
      <c r="AC51" s="517">
        <v>2035</v>
      </c>
      <c r="AD51" s="1414">
        <f>Table1[[#This Row],[Electricity]]/Table1[[#This Row],[Gasoline]]</f>
        <v>0.59322120056814376</v>
      </c>
      <c r="AE51" s="1414">
        <f>Table1[[#This Row],[Hydrogen]]/Table1[[#This Row],[Gasoline]]</f>
        <v>0.14687399480985483</v>
      </c>
    </row>
    <row r="52" spans="2:31" x14ac:dyDescent="0.2">
      <c r="M52" s="1415">
        <f t="shared" si="3"/>
        <v>0.43000000000000022</v>
      </c>
      <c r="N52" s="1400">
        <f t="shared" si="6"/>
        <v>0.42132146335212817</v>
      </c>
      <c r="P52" s="1241">
        <v>2036</v>
      </c>
      <c r="Q52" s="1229">
        <f t="shared" si="5"/>
        <v>96334.800000000745</v>
      </c>
      <c r="R52" s="601"/>
      <c r="S52" s="601"/>
      <c r="T52" s="601"/>
      <c r="U52" s="1229">
        <v>25534.889999999996</v>
      </c>
      <c r="V52" s="601"/>
      <c r="W52" s="601"/>
      <c r="X52" s="601"/>
      <c r="Y52" s="1233">
        <f t="shared" si="4"/>
        <v>156065</v>
      </c>
      <c r="Z52" s="517">
        <f>-1976.3*Table1[[#This Row],[Year]]+4130497.79</f>
        <v>106750.99000000022</v>
      </c>
      <c r="AC52" s="517">
        <v>2036</v>
      </c>
      <c r="AD52" s="1414">
        <f>Table1[[#This Row],[Electricity]]/Table1[[#This Row],[Gasoline]]</f>
        <v>0.61727357190914522</v>
      </c>
      <c r="AE52" s="1414">
        <f>Table1[[#This Row],[Hydrogen]]/Table1[[#This Row],[Gasoline]]</f>
        <v>0.16361701854996313</v>
      </c>
    </row>
    <row r="53" spans="2:31" x14ac:dyDescent="0.2">
      <c r="M53" s="1415">
        <f t="shared" si="3"/>
        <v>0.44000000000000022</v>
      </c>
      <c r="N53" s="1400">
        <f t="shared" si="6"/>
        <v>0.45102114846019115</v>
      </c>
      <c r="P53" s="1241">
        <v>2037</v>
      </c>
      <c r="Q53" s="1229">
        <f t="shared" si="5"/>
        <v>100088.53333333414</v>
      </c>
      <c r="R53" s="601"/>
      <c r="S53" s="601"/>
      <c r="T53" s="601"/>
      <c r="U53" s="1229">
        <v>28238.889999999996</v>
      </c>
      <c r="V53" s="601"/>
      <c r="W53" s="601"/>
      <c r="X53" s="601"/>
      <c r="Y53" s="1233">
        <f t="shared" si="4"/>
        <v>156065</v>
      </c>
      <c r="Z53" s="517">
        <f>-1976.3*Table1[[#This Row],[Year]]+4130497.79</f>
        <v>104774.68999999994</v>
      </c>
      <c r="AC53" s="517">
        <v>2037</v>
      </c>
      <c r="AD53" s="1414">
        <f>Table1[[#This Row],[Electricity]]/Table1[[#This Row],[Gasoline]]</f>
        <v>0.64132594325014669</v>
      </c>
      <c r="AE53" s="1414">
        <f>Table1[[#This Row],[Hydrogen]]/Table1[[#This Row],[Gasoline]]</f>
        <v>0.18094313266908016</v>
      </c>
    </row>
    <row r="54" spans="2:31" x14ac:dyDescent="0.2">
      <c r="M54" s="1415">
        <f t="shared" si="3"/>
        <v>0.45000000000000023</v>
      </c>
      <c r="N54" s="1400">
        <f t="shared" si="6"/>
        <v>0.48112900953454829</v>
      </c>
      <c r="P54" s="1241">
        <v>2038</v>
      </c>
      <c r="Q54" s="1229">
        <f t="shared" si="5"/>
        <v>103842.26666666754</v>
      </c>
      <c r="R54" s="601"/>
      <c r="S54" s="601"/>
      <c r="T54" s="601"/>
      <c r="U54" s="1229">
        <v>31005.889999999996</v>
      </c>
      <c r="V54" s="601"/>
      <c r="W54" s="601"/>
      <c r="X54" s="601"/>
      <c r="Y54" s="1233">
        <f t="shared" si="4"/>
        <v>156065</v>
      </c>
      <c r="Z54" s="517">
        <f>-1976.3*Table1[[#This Row],[Year]]+4130497.79</f>
        <v>102798.39000000013</v>
      </c>
      <c r="AC54" s="517">
        <v>2038</v>
      </c>
      <c r="AD54" s="1414">
        <f>Table1[[#This Row],[Electricity]]/Table1[[#This Row],[Gasoline]]</f>
        <v>0.66537831459114816</v>
      </c>
      <c r="AE54" s="1414">
        <f>Table1[[#This Row],[Hydrogen]]/Table1[[#This Row],[Gasoline]]</f>
        <v>0.19867292474289555</v>
      </c>
    </row>
    <row r="55" spans="2:31" x14ac:dyDescent="0.2">
      <c r="M55" s="1415">
        <f t="shared" si="3"/>
        <v>0.46000000000000024</v>
      </c>
      <c r="N55" s="1400">
        <f t="shared" si="6"/>
        <v>0.51148883886909147</v>
      </c>
      <c r="P55" s="1241">
        <v>2039</v>
      </c>
      <c r="Q55" s="1229">
        <f t="shared" si="5"/>
        <v>107596.00000000093</v>
      </c>
      <c r="R55" s="601"/>
      <c r="S55" s="601"/>
      <c r="T55" s="601"/>
      <c r="U55" s="1229">
        <v>33834.89</v>
      </c>
      <c r="V55" s="601"/>
      <c r="W55" s="601"/>
      <c r="X55" s="601"/>
      <c r="Y55" s="1233">
        <f t="shared" si="4"/>
        <v>156065</v>
      </c>
      <c r="Z55" s="517">
        <f>-1976.3*Table1[[#This Row],[Year]]+4130497.79</f>
        <v>100822.09000000032</v>
      </c>
      <c r="AC55" s="517">
        <v>2039</v>
      </c>
      <c r="AD55" s="1414">
        <f>Table1[[#This Row],[Electricity]]/Table1[[#This Row],[Gasoline]]</f>
        <v>0.68943068593214962</v>
      </c>
      <c r="AE55" s="1414">
        <f>Table1[[#This Row],[Hydrogen]]/Table1[[#This Row],[Gasoline]]</f>
        <v>0.21679998718482682</v>
      </c>
    </row>
    <row r="56" spans="2:31" x14ac:dyDescent="0.2">
      <c r="M56" s="1415">
        <f t="shared" si="3"/>
        <v>0.47000000000000025</v>
      </c>
      <c r="N56" s="1400">
        <f t="shared" si="6"/>
        <v>0.54193718792371426</v>
      </c>
      <c r="P56" s="1241">
        <v>2040</v>
      </c>
      <c r="Q56" s="1229">
        <f t="shared" si="5"/>
        <v>111349.73333333433</v>
      </c>
      <c r="R56" s="601"/>
      <c r="S56" s="601"/>
      <c r="T56" s="601"/>
      <c r="U56" s="1229">
        <v>36523.89</v>
      </c>
      <c r="V56" s="601"/>
      <c r="W56" s="601"/>
      <c r="X56" s="601"/>
      <c r="Y56" s="1233">
        <f t="shared" si="4"/>
        <v>156065</v>
      </c>
      <c r="Z56" s="517">
        <f>-1976.3*Table1[[#This Row],[Year]]+4130497.79</f>
        <v>98845.790000000037</v>
      </c>
      <c r="AC56" s="517">
        <v>2040</v>
      </c>
      <c r="AD56" s="1414">
        <f>Table1[[#This Row],[Electricity]]/Table1[[#This Row],[Gasoline]]</f>
        <v>0.71348305727315109</v>
      </c>
      <c r="AE56" s="1414">
        <f>Table1[[#This Row],[Hydrogen]]/Table1[[#This Row],[Gasoline]]</f>
        <v>0.23402998750520615</v>
      </c>
    </row>
    <row r="57" spans="2:31" x14ac:dyDescent="0.2">
      <c r="M57" s="1415">
        <f t="shared" si="3"/>
        <v>0.48000000000000026</v>
      </c>
      <c r="N57" s="1400">
        <f t="shared" si="6"/>
        <v>0.57230568676862981</v>
      </c>
      <c r="P57" s="1241">
        <v>2041</v>
      </c>
      <c r="Q57" s="1229">
        <f t="shared" si="5"/>
        <v>115103.46666666679</v>
      </c>
      <c r="R57" s="1232"/>
      <c r="S57" s="1232"/>
      <c r="T57" s="1232"/>
      <c r="U57" s="1229">
        <v>39429.890000000007</v>
      </c>
      <c r="V57" s="1232"/>
      <c r="W57" s="1232"/>
      <c r="X57" s="1232"/>
      <c r="Y57" s="1233">
        <f t="shared" si="4"/>
        <v>156065</v>
      </c>
      <c r="Z57" s="517">
        <f>-1976.3*Table1[[#This Row],[Year]]+4130497.79</f>
        <v>96869.490000000224</v>
      </c>
      <c r="AC57" s="517">
        <v>2041</v>
      </c>
      <c r="AD57" s="1414">
        <f>Table1[[#This Row],[Electricity]]/Table1[[#This Row],[Gasoline]]</f>
        <v>0.73753542861414656</v>
      </c>
      <c r="AE57" s="1414">
        <f>Table1[[#This Row],[Hydrogen]]/Table1[[#This Row],[Gasoline]]</f>
        <v>0.25265043411399102</v>
      </c>
    </row>
    <row r="58" spans="2:31" x14ac:dyDescent="0.2">
      <c r="M58" s="1415">
        <f t="shared" si="3"/>
        <v>0.49000000000000027</v>
      </c>
      <c r="N58" s="1400">
        <f t="shared" si="6"/>
        <v>0.60242359916581223</v>
      </c>
      <c r="P58" s="1241">
        <v>2042</v>
      </c>
      <c r="Q58" s="1229">
        <f t="shared" si="5"/>
        <v>118857.20000000019</v>
      </c>
      <c r="R58" s="1232"/>
      <c r="S58" s="1232"/>
      <c r="T58" s="1232"/>
      <c r="U58" s="1229">
        <v>42341.890000000007</v>
      </c>
      <c r="V58" s="1232"/>
      <c r="W58" s="1232"/>
      <c r="X58" s="1232"/>
      <c r="Y58" s="1233">
        <f t="shared" si="4"/>
        <v>156065</v>
      </c>
      <c r="Z58" s="517">
        <f>-1976.3*Table1[[#This Row],[Year]]+4130497.79</f>
        <v>94893.189999999944</v>
      </c>
      <c r="AC58" s="517">
        <v>2042</v>
      </c>
      <c r="AD58" s="1414">
        <f>Table1[[#This Row],[Electricity]]/Table1[[#This Row],[Gasoline]]</f>
        <v>0.76158779995514814</v>
      </c>
      <c r="AE58" s="1414">
        <f>Table1[[#This Row],[Hydrogen]]/Table1[[#This Row],[Gasoline]]</f>
        <v>0.27130932624227089</v>
      </c>
    </row>
    <row r="59" spans="2:31" x14ac:dyDescent="0.2">
      <c r="M59" s="1415">
        <f t="shared" si="3"/>
        <v>0.50000000000000022</v>
      </c>
      <c r="N59" s="1400">
        <f t="shared" si="6"/>
        <v>0.63212055882855833</v>
      </c>
      <c r="P59" s="1241">
        <v>2043</v>
      </c>
      <c r="Q59" s="1229">
        <f t="shared" si="5"/>
        <v>122610.93333333358</v>
      </c>
      <c r="R59" s="1232"/>
      <c r="S59" s="1232"/>
      <c r="T59" s="1232"/>
      <c r="U59" s="1229">
        <v>45272.890000000007</v>
      </c>
      <c r="V59" s="1232"/>
      <c r="W59" s="1232"/>
      <c r="X59" s="1232"/>
      <c r="Y59" s="1233">
        <f t="shared" si="4"/>
        <v>156065</v>
      </c>
      <c r="Z59" s="517">
        <f>-1976.3*Table1[[#This Row],[Year]]+4130497.79</f>
        <v>92916.89000000013</v>
      </c>
      <c r="AC59" s="517">
        <v>2043</v>
      </c>
      <c r="AD59" s="1414">
        <f>Table1[[#This Row],[Electricity]]/Table1[[#This Row],[Gasoline]]</f>
        <v>0.7856401712961496</v>
      </c>
      <c r="AE59" s="1414">
        <f>Table1[[#This Row],[Hydrogen]]/Table1[[#This Row],[Gasoline]]</f>
        <v>0.29008996251561853</v>
      </c>
    </row>
    <row r="60" spans="2:31" x14ac:dyDescent="0.2">
      <c r="M60" s="1415">
        <f t="shared" si="3"/>
        <v>0.51000000000000023</v>
      </c>
      <c r="N60" s="1400">
        <f t="shared" ref="N60:N109" si="7">WEIBULL(M60,$N$4,$N$5,$N$6)</f>
        <v>0.66122942140045338</v>
      </c>
      <c r="P60" s="1241">
        <v>2044</v>
      </c>
      <c r="Q60" s="1229">
        <f t="shared" si="5"/>
        <v>126364.66666666698</v>
      </c>
      <c r="R60" s="1232"/>
      <c r="S60" s="1232"/>
      <c r="T60" s="1232"/>
      <c r="U60" s="1229">
        <v>48191.890000000007</v>
      </c>
      <c r="V60" s="1232"/>
      <c r="W60" s="1232"/>
      <c r="X60" s="1232"/>
      <c r="Y60" s="1233">
        <f t="shared" si="4"/>
        <v>156065</v>
      </c>
      <c r="Z60" s="517">
        <f>-1976.3*Table1[[#This Row],[Year]]+4130497.79</f>
        <v>90940.590000000317</v>
      </c>
      <c r="AC60" s="517">
        <v>2044</v>
      </c>
      <c r="AD60" s="1414">
        <f>Table1[[#This Row],[Electricity]]/Table1[[#This Row],[Gasoline]]</f>
        <v>0.80969254263715107</v>
      </c>
      <c r="AE60" s="1414">
        <f>Table1[[#This Row],[Hydrogen]]/Table1[[#This Row],[Gasoline]]</f>
        <v>0.308793707749976</v>
      </c>
    </row>
    <row r="61" spans="2:31" x14ac:dyDescent="0.2">
      <c r="M61" s="1415">
        <f t="shared" si="3"/>
        <v>0.52000000000000024</v>
      </c>
      <c r="N61" s="1400">
        <f t="shared" si="7"/>
        <v>0.68958915732970893</v>
      </c>
      <c r="P61" s="1241">
        <v>2045</v>
      </c>
      <c r="Q61" s="1229">
        <f t="shared" si="5"/>
        <v>130118.40000000037</v>
      </c>
      <c r="R61" s="1232"/>
      <c r="S61" s="1232"/>
      <c r="T61" s="1232"/>
      <c r="U61" s="1229">
        <v>51068.890000000007</v>
      </c>
      <c r="V61" s="1232"/>
      <c r="W61" s="1232"/>
      <c r="X61" s="1232"/>
      <c r="Y61" s="1233">
        <f t="shared" si="4"/>
        <v>156065</v>
      </c>
      <c r="Z61" s="517">
        <f>-1976.3*Table1[[#This Row],[Year]]+4130497.79</f>
        <v>88964.290000000037</v>
      </c>
      <c r="AC61" s="517">
        <v>2045</v>
      </c>
      <c r="AD61" s="1414">
        <f>Table1[[#This Row],[Electricity]]/Table1[[#This Row],[Gasoline]]</f>
        <v>0.83374491397815254</v>
      </c>
      <c r="AE61" s="1414">
        <f>Table1[[#This Row],[Hydrogen]]/Table1[[#This Row],[Gasoline]]</f>
        <v>0.32722833434786791</v>
      </c>
    </row>
    <row r="62" spans="2:31" x14ac:dyDescent="0.2">
      <c r="M62" s="1415">
        <f t="shared" si="3"/>
        <v>0.53000000000000025</v>
      </c>
      <c r="N62" s="1400">
        <f t="shared" si="7"/>
        <v>0.71704770374006288</v>
      </c>
      <c r="P62" s="1241">
        <v>2046</v>
      </c>
      <c r="Q62" s="1229">
        <f t="shared" si="5"/>
        <v>133872.13333333377</v>
      </c>
      <c r="R62" s="1232"/>
      <c r="S62" s="1232"/>
      <c r="T62" s="1232"/>
      <c r="U62" s="1229">
        <v>53824.890000000007</v>
      </c>
      <c r="V62" s="1232"/>
      <c r="W62" s="1232"/>
      <c r="X62" s="1232"/>
      <c r="Y62" s="1233">
        <f t="shared" si="4"/>
        <v>156065</v>
      </c>
      <c r="Z62" s="517">
        <f>-1976.3*Table1[[#This Row],[Year]]+4130497.79</f>
        <v>86987.990000000224</v>
      </c>
      <c r="AC62" s="517">
        <v>2046</v>
      </c>
      <c r="AD62" s="1414">
        <f>Table1[[#This Row],[Electricity]]/Table1[[#This Row],[Gasoline]]</f>
        <v>0.857797285319154</v>
      </c>
      <c r="AE62" s="1414">
        <f>Table1[[#This Row],[Hydrogen]]/Table1[[#This Row],[Gasoline]]</f>
        <v>0.34488764296927565</v>
      </c>
    </row>
    <row r="63" spans="2:31" x14ac:dyDescent="0.2">
      <c r="M63" s="1415">
        <f t="shared" si="3"/>
        <v>0.54000000000000026</v>
      </c>
      <c r="N63" s="1400">
        <f t="shared" si="7"/>
        <v>0.74346468922347331</v>
      </c>
      <c r="P63" s="1241">
        <v>2047</v>
      </c>
      <c r="Q63" s="1229">
        <f t="shared" si="5"/>
        <v>137625.86666666716</v>
      </c>
      <c r="R63" s="1232"/>
      <c r="S63" s="1232"/>
      <c r="T63" s="1232"/>
      <c r="U63" s="1229">
        <v>56484.890000000007</v>
      </c>
      <c r="V63" s="1232"/>
      <c r="W63" s="1232"/>
      <c r="X63" s="1232"/>
      <c r="Y63" s="1233">
        <f t="shared" si="4"/>
        <v>156065</v>
      </c>
      <c r="Z63" s="517">
        <f>-1976.3*Table1[[#This Row],[Year]]+4130497.79</f>
        <v>85011.689999999944</v>
      </c>
      <c r="AC63" s="517">
        <v>2047</v>
      </c>
      <c r="AD63" s="1414">
        <f>Table1[[#This Row],[Electricity]]/Table1[[#This Row],[Gasoline]]</f>
        <v>0.88184965666015547</v>
      </c>
      <c r="AE63" s="1414">
        <f>Table1[[#This Row],[Hydrogen]]/Table1[[#This Row],[Gasoline]]</f>
        <v>0.36193182327876211</v>
      </c>
    </row>
    <row r="64" spans="2:31" x14ac:dyDescent="0.2">
      <c r="M64" s="1415">
        <f t="shared" si="3"/>
        <v>0.55000000000000027</v>
      </c>
      <c r="N64" s="1400">
        <f t="shared" si="7"/>
        <v>0.768713944715672</v>
      </c>
      <c r="P64" s="1241">
        <v>2048</v>
      </c>
      <c r="Q64" s="1229">
        <f t="shared" si="5"/>
        <v>141379.60000000056</v>
      </c>
      <c r="R64" s="1232"/>
      <c r="S64" s="1232"/>
      <c r="T64" s="1232"/>
      <c r="U64" s="1229">
        <v>59039.890000000007</v>
      </c>
      <c r="V64" s="1232"/>
      <c r="W64" s="1232"/>
      <c r="X64" s="1232"/>
      <c r="Y64" s="1233">
        <f t="shared" si="4"/>
        <v>156065</v>
      </c>
      <c r="Z64" s="517">
        <f>-1976.3*Table1[[#This Row],[Year]]+4130497.79</f>
        <v>83035.39000000013</v>
      </c>
      <c r="AC64" s="517">
        <v>2048</v>
      </c>
      <c r="AD64" s="1414">
        <f>Table1[[#This Row],[Electricity]]/Table1[[#This Row],[Gasoline]]</f>
        <v>0.90590202800115693</v>
      </c>
      <c r="AE64" s="1414">
        <f>Table1[[#This Row],[Hydrogen]]/Table1[[#This Row],[Gasoline]]</f>
        <v>0.37830320699708458</v>
      </c>
    </row>
    <row r="65" spans="13:31" x14ac:dyDescent="0.2">
      <c r="M65" s="1415">
        <f t="shared" si="3"/>
        <v>0.56000000000000028</v>
      </c>
      <c r="N65" s="1400">
        <f t="shared" si="7"/>
        <v>0.79268571663322196</v>
      </c>
      <c r="P65" s="1241">
        <v>2049</v>
      </c>
      <c r="Q65" s="1229">
        <f t="shared" si="5"/>
        <v>145133.33333333395</v>
      </c>
      <c r="R65" s="1232"/>
      <c r="S65" s="1232"/>
      <c r="T65" s="1232"/>
      <c r="U65" s="1229">
        <v>61442.890000000007</v>
      </c>
      <c r="V65" s="1232"/>
      <c r="W65" s="1232"/>
      <c r="X65" s="1232"/>
      <c r="Y65" s="1233">
        <f t="shared" si="4"/>
        <v>156065</v>
      </c>
      <c r="Z65" s="517">
        <f>-1976.3*Table1[[#This Row],[Year]]+4130497.79</f>
        <v>81059.090000000317</v>
      </c>
      <c r="AC65" s="517">
        <v>2049</v>
      </c>
      <c r="AD65" s="1414">
        <f>Table1[[#This Row],[Electricity]]/Table1[[#This Row],[Gasoline]]</f>
        <v>0.9299543993421584</v>
      </c>
      <c r="AE65" s="1414">
        <f>Table1[[#This Row],[Hydrogen]]/Table1[[#This Row],[Gasoline]]</f>
        <v>0.39370063755486501</v>
      </c>
    </row>
    <row r="66" spans="13:31" x14ac:dyDescent="0.2">
      <c r="M66" s="1415">
        <f t="shared" si="3"/>
        <v>0.57000000000000028</v>
      </c>
      <c r="N66" s="1400">
        <f t="shared" si="7"/>
        <v>0.81528850543313935</v>
      </c>
      <c r="P66" s="1241">
        <v>2050</v>
      </c>
      <c r="Q66" s="1229">
        <f t="shared" si="5"/>
        <v>148887.06666666735</v>
      </c>
      <c r="R66" s="1232"/>
      <c r="S66" s="1232"/>
      <c r="T66" s="1232"/>
      <c r="U66" s="1229">
        <v>63797.890000000007</v>
      </c>
      <c r="V66" s="1232"/>
      <c r="W66" s="1232"/>
      <c r="X66" s="1232"/>
      <c r="Y66" s="1233">
        <f t="shared" si="4"/>
        <v>156065</v>
      </c>
      <c r="Z66" s="517">
        <f>-1976.3*Table1[[#This Row],[Year]]+4130497.79</f>
        <v>79082.790000000037</v>
      </c>
      <c r="AC66" s="517">
        <v>2050</v>
      </c>
      <c r="AD66" s="1414">
        <f>Table1[[#This Row],[Electricity]]/Table1[[#This Row],[Gasoline]]</f>
        <v>0.95400677068315987</v>
      </c>
      <c r="AE66" s="1414">
        <f>Table1[[#This Row],[Hydrogen]]/Table1[[#This Row],[Gasoline]]</f>
        <v>0.40879050395668476</v>
      </c>
    </row>
    <row r="67" spans="13:31" x14ac:dyDescent="0.2">
      <c r="M67" s="1415">
        <f t="shared" si="3"/>
        <v>0.58000000000000029</v>
      </c>
      <c r="N67" s="1400">
        <f t="shared" si="7"/>
        <v>0.83645046366396225</v>
      </c>
      <c r="P67" s="1242"/>
      <c r="Q67"/>
      <c r="R67"/>
      <c r="S67"/>
      <c r="T67"/>
      <c r="U67"/>
      <c r="V67"/>
      <c r="W67"/>
      <c r="X67"/>
    </row>
    <row r="68" spans="13:31" x14ac:dyDescent="0.2">
      <c r="M68" s="1415">
        <f t="shared" si="3"/>
        <v>0.5900000000000003</v>
      </c>
      <c r="N68" s="1400">
        <f t="shared" si="7"/>
        <v>0.85612030212542312</v>
      </c>
      <c r="P68" s="1242"/>
      <c r="Q68"/>
      <c r="R68"/>
      <c r="S68"/>
      <c r="T68"/>
      <c r="U68"/>
      <c r="V68"/>
      <c r="W68"/>
      <c r="X68"/>
    </row>
    <row r="69" spans="13:31" x14ac:dyDescent="0.2">
      <c r="M69" s="1415">
        <f t="shared" si="3"/>
        <v>0.60000000000000031</v>
      </c>
      <c r="N69" s="1400">
        <f t="shared" si="7"/>
        <v>0.87426767040557263</v>
      </c>
      <c r="P69" s="1242"/>
      <c r="Q69"/>
      <c r="R69"/>
      <c r="S69"/>
      <c r="T69"/>
      <c r="U69"/>
      <c r="V69"/>
      <c r="W69"/>
      <c r="X69"/>
    </row>
    <row r="70" spans="13:31" x14ac:dyDescent="0.2">
      <c r="M70" s="1415">
        <f t="shared" si="3"/>
        <v>0.61000000000000032</v>
      </c>
      <c r="N70" s="1400">
        <f t="shared" si="7"/>
        <v>0.89088299804314675</v>
      </c>
      <c r="P70"/>
      <c r="Q70"/>
      <c r="R70"/>
      <c r="S70"/>
      <c r="T70"/>
      <c r="U70"/>
      <c r="V70"/>
      <c r="W70"/>
      <c r="X70"/>
      <c r="Y70"/>
      <c r="Z70"/>
    </row>
    <row r="71" spans="13:31" x14ac:dyDescent="0.2">
      <c r="M71" s="1415">
        <f t="shared" si="3"/>
        <v>0.62000000000000033</v>
      </c>
      <c r="N71" s="1400">
        <f t="shared" si="7"/>
        <v>0.90597680388751134</v>
      </c>
      <c r="P71"/>
      <c r="Q71" t="s">
        <v>342</v>
      </c>
      <c r="R71"/>
      <c r="S71"/>
      <c r="T71"/>
      <c r="U71"/>
      <c r="V71"/>
      <c r="W71"/>
      <c r="X71"/>
      <c r="Y71"/>
      <c r="Z71"/>
    </row>
    <row r="72" spans="13:31" ht="13.5" thickBot="1" x14ac:dyDescent="0.25">
      <c r="M72" s="1415">
        <f t="shared" si="3"/>
        <v>0.63000000000000034</v>
      </c>
      <c r="N72" s="1400">
        <f t="shared" si="7"/>
        <v>0.91957850276566688</v>
      </c>
      <c r="P72"/>
      <c r="Q72"/>
      <c r="R72"/>
      <c r="S72"/>
      <c r="T72"/>
      <c r="U72"/>
      <c r="V72"/>
      <c r="W72"/>
      <c r="X72"/>
      <c r="Y72"/>
      <c r="Z72"/>
    </row>
    <row r="73" spans="13:31" x14ac:dyDescent="0.2">
      <c r="M73" s="1415">
        <f t="shared" si="3"/>
        <v>0.64000000000000035</v>
      </c>
      <c r="N73" s="1400">
        <f t="shared" si="7"/>
        <v>0.93173475910294257</v>
      </c>
      <c r="P73"/>
      <c r="Q73" s="1392" t="s">
        <v>343</v>
      </c>
      <c r="R73" s="1392"/>
      <c r="S73"/>
      <c r="T73"/>
      <c r="U73"/>
      <c r="V73"/>
      <c r="W73"/>
      <c r="X73"/>
      <c r="Y73"/>
      <c r="Z73"/>
    </row>
    <row r="74" spans="13:31" x14ac:dyDescent="0.2">
      <c r="M74" s="1415">
        <f t="shared" si="3"/>
        <v>0.65000000000000036</v>
      </c>
      <c r="N74" s="1400">
        <f t="shared" si="7"/>
        <v>0.94250745547383585</v>
      </c>
      <c r="P74"/>
      <c r="Q74" s="1391" t="s">
        <v>344</v>
      </c>
      <c r="R74" s="1391">
        <v>0.99449967320782939</v>
      </c>
      <c r="S74"/>
      <c r="T74"/>
      <c r="U74"/>
      <c r="V74"/>
      <c r="W74"/>
      <c r="X74"/>
      <c r="Y74"/>
      <c r="Z74"/>
    </row>
    <row r="75" spans="13:31" x14ac:dyDescent="0.2">
      <c r="M75" s="1415">
        <f t="shared" si="3"/>
        <v>0.66000000000000036</v>
      </c>
      <c r="N75" s="1400">
        <f t="shared" si="7"/>
        <v>0.95197135907101305</v>
      </c>
      <c r="P75"/>
      <c r="Q75" s="1391" t="s">
        <v>345</v>
      </c>
      <c r="R75" s="1391">
        <v>0.98902960001047946</v>
      </c>
      <c r="S75"/>
      <c r="T75"/>
      <c r="U75"/>
      <c r="V75"/>
      <c r="W75"/>
      <c r="X75"/>
      <c r="Y75"/>
      <c r="Z75"/>
    </row>
    <row r="76" spans="13:31" x14ac:dyDescent="0.2">
      <c r="M76" s="1415">
        <f t="shared" ref="M76:M109" si="8">M75+0.01</f>
        <v>0.67000000000000037</v>
      </c>
      <c r="N76" s="1400">
        <f t="shared" si="7"/>
        <v>0.96021157984875782</v>
      </c>
      <c r="P76"/>
      <c r="Q76" s="1391" t="s">
        <v>346</v>
      </c>
      <c r="R76" s="1391">
        <v>0.98720120001222611</v>
      </c>
      <c r="S76"/>
      <c r="T76"/>
      <c r="U76"/>
      <c r="V76"/>
      <c r="W76"/>
      <c r="X76"/>
      <c r="Y76"/>
      <c r="Z76"/>
    </row>
    <row r="77" spans="13:31" x14ac:dyDescent="0.2">
      <c r="M77" s="1415">
        <f t="shared" si="8"/>
        <v>0.68000000000000038</v>
      </c>
      <c r="N77" s="1400">
        <f t="shared" si="7"/>
        <v>0.96732091996204717</v>
      </c>
      <c r="P77"/>
      <c r="Q77" s="1391" t="s">
        <v>347</v>
      </c>
      <c r="R77" s="1391">
        <v>1099.8062500724445</v>
      </c>
      <c r="S77"/>
      <c r="T77"/>
      <c r="U77"/>
      <c r="V77"/>
      <c r="W77"/>
      <c r="X77"/>
      <c r="Y77"/>
      <c r="Z77"/>
    </row>
    <row r="78" spans="13:31" ht="13.5" thickBot="1" x14ac:dyDescent="0.25">
      <c r="M78" s="1415">
        <f t="shared" si="8"/>
        <v>0.69000000000000039</v>
      </c>
      <c r="N78" s="1400">
        <f t="shared" si="7"/>
        <v>0.97339721474921714</v>
      </c>
      <c r="P78"/>
      <c r="Q78" s="1389" t="s">
        <v>348</v>
      </c>
      <c r="R78" s="1389">
        <v>8</v>
      </c>
      <c r="S78"/>
      <c r="T78"/>
      <c r="U78"/>
      <c r="V78"/>
      <c r="W78"/>
      <c r="X78"/>
      <c r="Y78"/>
      <c r="Z78"/>
    </row>
    <row r="79" spans="13:31" x14ac:dyDescent="0.2">
      <c r="M79" s="1415">
        <f t="shared" si="8"/>
        <v>0.7000000000000004</v>
      </c>
      <c r="N79" s="1400">
        <f t="shared" si="7"/>
        <v>0.97854076091991982</v>
      </c>
      <c r="P79"/>
      <c r="Q79"/>
      <c r="R79"/>
      <c r="S79"/>
      <c r="T79"/>
      <c r="U79"/>
      <c r="V79"/>
      <c r="W79"/>
      <c r="X79"/>
      <c r="Y79"/>
      <c r="Z79"/>
    </row>
    <row r="80" spans="13:31" ht="13.5" thickBot="1" x14ac:dyDescent="0.25">
      <c r="M80" s="1415">
        <f t="shared" si="8"/>
        <v>0.71000000000000041</v>
      </c>
      <c r="N80" s="1400">
        <f t="shared" si="7"/>
        <v>0.9828519181996197</v>
      </c>
      <c r="P80"/>
      <c r="Q80" t="s">
        <v>349</v>
      </c>
      <c r="R80"/>
      <c r="S80"/>
      <c r="T80"/>
      <c r="U80"/>
      <c r="V80"/>
      <c r="W80"/>
      <c r="X80"/>
      <c r="Y80"/>
      <c r="Z80"/>
    </row>
    <row r="81" spans="13:26" x14ac:dyDescent="0.2">
      <c r="M81" s="1415">
        <f t="shared" si="8"/>
        <v>0.72000000000000042</v>
      </c>
      <c r="N81" s="1400">
        <f t="shared" si="7"/>
        <v>0.98642895717144563</v>
      </c>
      <c r="P81"/>
      <c r="Q81" s="1390"/>
      <c r="R81" s="1390" t="s">
        <v>353</v>
      </c>
      <c r="S81" s="1390" t="s">
        <v>354</v>
      </c>
      <c r="T81" s="1390" t="s">
        <v>355</v>
      </c>
      <c r="U81" s="1390" t="s">
        <v>356</v>
      </c>
      <c r="V81" s="1390" t="s">
        <v>357</v>
      </c>
      <c r="W81"/>
      <c r="X81"/>
      <c r="Y81"/>
      <c r="Z81"/>
    </row>
    <row r="82" spans="13:26" x14ac:dyDescent="0.2">
      <c r="M82" s="1415">
        <f t="shared" si="8"/>
        <v>0.73000000000000043</v>
      </c>
      <c r="N82" s="1400">
        <f t="shared" si="7"/>
        <v>0.98936620944626497</v>
      </c>
      <c r="P82"/>
      <c r="Q82" s="1391" t="s">
        <v>350</v>
      </c>
      <c r="R82" s="1391">
        <v>1</v>
      </c>
      <c r="S82" s="1391">
        <v>654290243.14880955</v>
      </c>
      <c r="T82" s="1391">
        <v>654290243.14880955</v>
      </c>
      <c r="U82" s="1391">
        <v>540.92627486066692</v>
      </c>
      <c r="V82" s="1391">
        <v>4.1429738325697967E-7</v>
      </c>
      <c r="W82"/>
      <c r="X82"/>
      <c r="Y82"/>
      <c r="Z82"/>
    </row>
    <row r="83" spans="13:26" x14ac:dyDescent="0.2">
      <c r="M83" s="1415">
        <f t="shared" si="8"/>
        <v>0.74000000000000044</v>
      </c>
      <c r="N83" s="1400">
        <f t="shared" si="7"/>
        <v>0.99175255777467719</v>
      </c>
      <c r="P83"/>
      <c r="Q83" s="1391" t="s">
        <v>351</v>
      </c>
      <c r="R83" s="1391">
        <v>6</v>
      </c>
      <c r="S83" s="1391">
        <v>7257442.7261904757</v>
      </c>
      <c r="T83" s="1391">
        <v>1209573.7876984125</v>
      </c>
      <c r="U83" s="1391"/>
      <c r="V83" s="1391"/>
      <c r="W83"/>
      <c r="X83"/>
      <c r="Y83"/>
      <c r="Z83"/>
    </row>
    <row r="84" spans="13:26" ht="13.5" thickBot="1" x14ac:dyDescent="0.25">
      <c r="M84" s="1415">
        <f t="shared" si="8"/>
        <v>0.75000000000000044</v>
      </c>
      <c r="N84" s="1400">
        <f t="shared" si="7"/>
        <v>0.99367028457251438</v>
      </c>
      <c r="P84"/>
      <c r="Q84" s="1389" t="s">
        <v>18</v>
      </c>
      <c r="R84" s="1389">
        <v>7</v>
      </c>
      <c r="S84" s="1389">
        <v>661547685.875</v>
      </c>
      <c r="T84" s="1389"/>
      <c r="U84" s="1389"/>
      <c r="V84" s="1389"/>
      <c r="W84"/>
      <c r="X84"/>
      <c r="Y84"/>
      <c r="Z84"/>
    </row>
    <row r="85" spans="13:26" ht="13.5" thickBot="1" x14ac:dyDescent="0.25">
      <c r="M85" s="1415">
        <f t="shared" si="8"/>
        <v>0.76000000000000045</v>
      </c>
      <c r="N85" s="1400">
        <f t="shared" si="7"/>
        <v>0.9951942788280157</v>
      </c>
      <c r="P85"/>
      <c r="Q85"/>
      <c r="R85"/>
      <c r="S85"/>
      <c r="T85"/>
      <c r="U85"/>
      <c r="V85"/>
      <c r="W85"/>
      <c r="X85"/>
      <c r="Y85"/>
      <c r="Z85"/>
    </row>
    <row r="86" spans="13:26" x14ac:dyDescent="0.2">
      <c r="M86" s="1415">
        <f t="shared" si="8"/>
        <v>0.77000000000000046</v>
      </c>
      <c r="N86" s="1400">
        <f t="shared" si="7"/>
        <v>0.9963915846347442</v>
      </c>
      <c r="P86"/>
      <c r="Q86" s="1390"/>
      <c r="R86" s="1390" t="s">
        <v>358</v>
      </c>
      <c r="S86" s="1390" t="s">
        <v>347</v>
      </c>
      <c r="T86" s="1390" t="s">
        <v>359</v>
      </c>
      <c r="U86" s="1390" t="s">
        <v>360</v>
      </c>
      <c r="V86" s="1390" t="s">
        <v>361</v>
      </c>
      <c r="W86" s="1390" t="s">
        <v>362</v>
      </c>
      <c r="X86" s="1390" t="s">
        <v>363</v>
      </c>
      <c r="Y86" s="1390" t="s">
        <v>364</v>
      </c>
      <c r="Z86"/>
    </row>
    <row r="87" spans="13:26" x14ac:dyDescent="0.2">
      <c r="M87" s="1415">
        <f t="shared" si="8"/>
        <v>0.78000000000000047</v>
      </c>
      <c r="N87" s="1400">
        <f t="shared" si="7"/>
        <v>0.99732126057789017</v>
      </c>
      <c r="P87"/>
      <c r="Q87" s="1391" t="s">
        <v>352</v>
      </c>
      <c r="R87" s="1391">
        <v>-7935707.4642857136</v>
      </c>
      <c r="S87" s="1391">
        <v>341868.5034598693</v>
      </c>
      <c r="T87" s="1391">
        <v>-23.212748129683312</v>
      </c>
      <c r="U87" s="1391">
        <v>4.1910075053613936E-7</v>
      </c>
      <c r="V87" s="1391">
        <v>-8772229.5569348633</v>
      </c>
      <c r="W87" s="1391">
        <v>-7099185.3716365639</v>
      </c>
      <c r="X87" s="1391">
        <v>-8772229.5569348633</v>
      </c>
      <c r="Y87" s="1391">
        <v>-7099185.3716365639</v>
      </c>
      <c r="Z87"/>
    </row>
    <row r="88" spans="13:26" ht="13.5" thickBot="1" x14ac:dyDescent="0.25">
      <c r="M88" s="1415">
        <f t="shared" si="8"/>
        <v>0.79000000000000048</v>
      </c>
      <c r="N88" s="1400">
        <f t="shared" si="7"/>
        <v>0.99803450854380882</v>
      </c>
      <c r="P88"/>
      <c r="Q88" s="1389" t="s">
        <v>365</v>
      </c>
      <c r="R88" s="1389">
        <v>3946.9404761904757</v>
      </c>
      <c r="S88" s="1389">
        <v>169.70378869542441</v>
      </c>
      <c r="T88" s="1389">
        <v>23.257821799572433</v>
      </c>
      <c r="U88" s="1389">
        <v>4.1429738325698041E-7</v>
      </c>
      <c r="V88" s="1389">
        <v>3531.6902644474399</v>
      </c>
      <c r="W88" s="1389">
        <v>4362.1906879335111</v>
      </c>
      <c r="X88" s="1389">
        <v>3531.6902644474399</v>
      </c>
      <c r="Y88" s="1389">
        <v>4362.1906879335111</v>
      </c>
      <c r="Z88"/>
    </row>
    <row r="89" spans="13:26" x14ac:dyDescent="0.2">
      <c r="M89" s="1415">
        <f t="shared" si="8"/>
        <v>0.80000000000000049</v>
      </c>
      <c r="N89" s="1400">
        <f t="shared" si="7"/>
        <v>0.99857502356180761</v>
      </c>
      <c r="P89"/>
      <c r="Q89"/>
      <c r="R89"/>
      <c r="S89"/>
      <c r="T89"/>
      <c r="U89"/>
      <c r="V89"/>
      <c r="W89"/>
      <c r="X89"/>
      <c r="Y89"/>
      <c r="Z89"/>
    </row>
    <row r="90" spans="13:26" x14ac:dyDescent="0.2">
      <c r="M90" s="1415">
        <f t="shared" si="8"/>
        <v>0.8100000000000005</v>
      </c>
      <c r="N90" s="1400">
        <f t="shared" si="7"/>
        <v>0.99897951304628008</v>
      </c>
      <c r="Q90"/>
      <c r="R90"/>
      <c r="S90"/>
      <c r="T90"/>
      <c r="U90"/>
      <c r="V90"/>
      <c r="W90"/>
      <c r="X90"/>
      <c r="Y90"/>
    </row>
    <row r="91" spans="13:26" x14ac:dyDescent="0.2">
      <c r="M91" s="1415">
        <f t="shared" si="8"/>
        <v>0.82000000000000051</v>
      </c>
      <c r="N91" s="1400">
        <f t="shared" si="7"/>
        <v>0.99927833402166177</v>
      </c>
      <c r="Q91"/>
      <c r="R91"/>
      <c r="S91"/>
      <c r="T91"/>
      <c r="U91"/>
      <c r="V91"/>
      <c r="W91"/>
      <c r="X91"/>
      <c r="Y91"/>
    </row>
    <row r="92" spans="13:26" x14ac:dyDescent="0.2">
      <c r="M92" s="1415">
        <f t="shared" si="8"/>
        <v>0.83000000000000052</v>
      </c>
      <c r="N92" s="1400">
        <f t="shared" si="7"/>
        <v>0.99949620008360773</v>
      </c>
    </row>
    <row r="93" spans="13:26" x14ac:dyDescent="0.2">
      <c r="M93" s="1415">
        <f t="shared" si="8"/>
        <v>0.84000000000000052</v>
      </c>
      <c r="N93" s="1400">
        <f t="shared" si="7"/>
        <v>0.99965291531541611</v>
      </c>
      <c r="Q93" t="s">
        <v>342</v>
      </c>
      <c r="R93"/>
      <c r="S93"/>
      <c r="T93"/>
      <c r="U93"/>
      <c r="V93"/>
      <c r="W93"/>
      <c r="X93"/>
      <c r="Y93"/>
    </row>
    <row r="94" spans="13:26" ht="13.5" thickBot="1" x14ac:dyDescent="0.25">
      <c r="M94" s="1415">
        <f t="shared" si="8"/>
        <v>0.85000000000000053</v>
      </c>
      <c r="N94" s="1400">
        <f t="shared" si="7"/>
        <v>0.99976409939337041</v>
      </c>
      <c r="Q94"/>
      <c r="R94"/>
      <c r="S94"/>
      <c r="T94"/>
      <c r="U94"/>
      <c r="V94"/>
      <c r="W94"/>
      <c r="X94"/>
      <c r="Y94"/>
    </row>
    <row r="95" spans="13:26" x14ac:dyDescent="0.2">
      <c r="M95" s="1415">
        <f t="shared" si="8"/>
        <v>0.86000000000000054</v>
      </c>
      <c r="N95" s="1400">
        <f t="shared" si="7"/>
        <v>0.9998418759268497</v>
      </c>
      <c r="Q95" s="1392" t="s">
        <v>343</v>
      </c>
      <c r="R95" s="1392"/>
      <c r="S95"/>
      <c r="T95"/>
      <c r="U95"/>
      <c r="V95"/>
      <c r="W95"/>
      <c r="X95"/>
      <c r="Y95"/>
    </row>
    <row r="96" spans="13:26" x14ac:dyDescent="0.2">
      <c r="M96" s="1415">
        <f t="shared" si="8"/>
        <v>0.87000000000000055</v>
      </c>
      <c r="N96" s="1400">
        <f t="shared" si="7"/>
        <v>0.999895503999498</v>
      </c>
      <c r="Q96" s="1391" t="s">
        <v>344</v>
      </c>
      <c r="R96" s="1391">
        <v>0.99269784439834385</v>
      </c>
      <c r="S96"/>
      <c r="T96"/>
      <c r="U96"/>
      <c r="V96"/>
      <c r="W96"/>
      <c r="X96"/>
      <c r="Y96"/>
    </row>
    <row r="97" spans="13:25" x14ac:dyDescent="0.2">
      <c r="M97" s="1415">
        <f t="shared" si="8"/>
        <v>0.88000000000000056</v>
      </c>
      <c r="N97" s="1400">
        <f t="shared" si="7"/>
        <v>0.99993194033152688</v>
      </c>
      <c r="Q97" s="1391" t="s">
        <v>345</v>
      </c>
      <c r="R97" s="1391">
        <v>0.98544901027311849</v>
      </c>
      <c r="S97"/>
      <c r="T97"/>
      <c r="U97"/>
      <c r="V97"/>
      <c r="W97"/>
      <c r="X97"/>
      <c r="Y97"/>
    </row>
    <row r="98" spans="13:25" x14ac:dyDescent="0.2">
      <c r="M98" s="1415">
        <f t="shared" si="8"/>
        <v>0.89000000000000057</v>
      </c>
      <c r="N98" s="1400">
        <f t="shared" si="7"/>
        <v>0.99995632604198814</v>
      </c>
      <c r="Q98" s="1391" t="s">
        <v>346</v>
      </c>
      <c r="R98" s="1391">
        <v>0.9833702974549926</v>
      </c>
      <c r="S98"/>
      <c r="T98"/>
      <c r="U98"/>
      <c r="V98"/>
      <c r="W98"/>
      <c r="X98"/>
      <c r="Y98"/>
    </row>
    <row r="99" spans="13:25" x14ac:dyDescent="0.2">
      <c r="M99" s="1415">
        <f t="shared" si="8"/>
        <v>0.90000000000000058</v>
      </c>
      <c r="N99" s="1400">
        <f t="shared" si="7"/>
        <v>0.99997239738380339</v>
      </c>
      <c r="Q99" s="1391" t="s">
        <v>347</v>
      </c>
      <c r="R99" s="1391">
        <v>1335.4241024233945</v>
      </c>
      <c r="S99"/>
      <c r="T99"/>
      <c r="U99"/>
      <c r="V99"/>
      <c r="W99"/>
      <c r="X99"/>
      <c r="Y99"/>
    </row>
    <row r="100" spans="13:25" ht="13.5" thickBot="1" x14ac:dyDescent="0.25">
      <c r="M100" s="1415">
        <f t="shared" si="8"/>
        <v>0.91000000000000059</v>
      </c>
      <c r="N100" s="1400">
        <f t="shared" si="7"/>
        <v>0.99998282393580651</v>
      </c>
      <c r="Q100" s="1389" t="s">
        <v>348</v>
      </c>
      <c r="R100" s="1389">
        <v>9</v>
      </c>
      <c r="S100"/>
      <c r="T100"/>
      <c r="U100"/>
      <c r="V100"/>
      <c r="W100"/>
      <c r="X100"/>
      <c r="Y100"/>
    </row>
    <row r="101" spans="13:25" x14ac:dyDescent="0.2">
      <c r="M101" s="1415">
        <f t="shared" si="8"/>
        <v>0.9200000000000006</v>
      </c>
      <c r="N101" s="1400">
        <f t="shared" si="7"/>
        <v>0.99998948057868242</v>
      </c>
      <c r="Q101"/>
      <c r="R101"/>
      <c r="S101"/>
      <c r="T101"/>
      <c r="U101"/>
      <c r="V101"/>
      <c r="W101"/>
      <c r="X101"/>
      <c r="Y101"/>
    </row>
    <row r="102" spans="13:25" ht="13.5" thickBot="1" x14ac:dyDescent="0.25">
      <c r="M102" s="1415">
        <f t="shared" si="8"/>
        <v>0.9300000000000006</v>
      </c>
      <c r="N102" s="1400">
        <f t="shared" si="7"/>
        <v>0.9999936612702216</v>
      </c>
      <c r="Q102" t="s">
        <v>349</v>
      </c>
      <c r="R102"/>
      <c r="S102"/>
      <c r="T102"/>
      <c r="U102"/>
      <c r="V102"/>
      <c r="W102"/>
      <c r="X102"/>
      <c r="Y102"/>
    </row>
    <row r="103" spans="13:25" x14ac:dyDescent="0.2">
      <c r="M103" s="1415">
        <f t="shared" si="8"/>
        <v>0.94000000000000061</v>
      </c>
      <c r="N103" s="1400">
        <f t="shared" si="7"/>
        <v>0.99999624335152093</v>
      </c>
      <c r="Q103" s="1390"/>
      <c r="R103" s="1390" t="s">
        <v>353</v>
      </c>
      <c r="S103" s="1390" t="s">
        <v>354</v>
      </c>
      <c r="T103" s="1390" t="s">
        <v>355</v>
      </c>
      <c r="U103" s="1390" t="s">
        <v>356</v>
      </c>
      <c r="V103" s="1390" t="s">
        <v>357</v>
      </c>
      <c r="W103"/>
      <c r="X103"/>
      <c r="Y103"/>
    </row>
    <row r="104" spans="13:25" x14ac:dyDescent="0.2">
      <c r="M104" s="1415">
        <f t="shared" si="8"/>
        <v>0.95000000000000062</v>
      </c>
      <c r="N104" s="1400">
        <f t="shared" si="7"/>
        <v>0.99999781107499508</v>
      </c>
      <c r="Q104" s="1391" t="s">
        <v>350</v>
      </c>
      <c r="R104" s="1391">
        <v>1</v>
      </c>
      <c r="S104" s="1391">
        <v>845430836.26666653</v>
      </c>
      <c r="T104" s="1391">
        <v>845430836.26666653</v>
      </c>
      <c r="U104" s="1391">
        <v>474.06693299825616</v>
      </c>
      <c r="V104" s="1391">
        <v>1.0877487663116294E-7</v>
      </c>
      <c r="W104"/>
      <c r="X104"/>
      <c r="Y104"/>
    </row>
    <row r="105" spans="13:25" x14ac:dyDescent="0.2">
      <c r="M105" s="1415">
        <f t="shared" si="8"/>
        <v>0.96000000000000063</v>
      </c>
      <c r="N105" s="1400">
        <f t="shared" si="7"/>
        <v>0.99999874646745956</v>
      </c>
      <c r="Q105" s="1391" t="s">
        <v>351</v>
      </c>
      <c r="R105" s="1391">
        <v>7</v>
      </c>
      <c r="S105" s="1391">
        <v>12483502.733333301</v>
      </c>
      <c r="T105" s="1391">
        <v>1783357.5333333288</v>
      </c>
      <c r="U105" s="1391"/>
      <c r="V105" s="1391"/>
      <c r="W105"/>
      <c r="X105"/>
      <c r="Y105"/>
    </row>
    <row r="106" spans="13:25" ht="13.5" thickBot="1" x14ac:dyDescent="0.25">
      <c r="M106" s="1415">
        <f t="shared" si="8"/>
        <v>0.97000000000000064</v>
      </c>
      <c r="N106" s="1400">
        <f t="shared" si="7"/>
        <v>0.99999929472988103</v>
      </c>
      <c r="Q106" s="1389" t="s">
        <v>18</v>
      </c>
      <c r="R106" s="1389">
        <v>8</v>
      </c>
      <c r="S106" s="1389">
        <v>857914338.99999988</v>
      </c>
      <c r="T106" s="1389"/>
      <c r="U106" s="1389"/>
      <c r="V106" s="1389"/>
      <c r="W106"/>
      <c r="X106"/>
      <c r="Y106"/>
    </row>
    <row r="107" spans="13:25" ht="13.5" thickBot="1" x14ac:dyDescent="0.25">
      <c r="M107" s="1415">
        <f t="shared" si="8"/>
        <v>0.98000000000000065</v>
      </c>
      <c r="N107" s="1400">
        <f t="shared" si="7"/>
        <v>0.99999961030075424</v>
      </c>
      <c r="Q107"/>
      <c r="R107"/>
      <c r="S107"/>
      <c r="T107"/>
      <c r="U107"/>
      <c r="V107"/>
      <c r="W107"/>
      <c r="X107"/>
      <c r="Y107"/>
    </row>
    <row r="108" spans="13:25" x14ac:dyDescent="0.2">
      <c r="M108" s="1415">
        <f t="shared" si="8"/>
        <v>0.99000000000000066</v>
      </c>
      <c r="N108" s="1400">
        <f t="shared" si="7"/>
        <v>0.9999997886047346</v>
      </c>
      <c r="Q108" s="1390"/>
      <c r="R108" s="1390" t="s">
        <v>358</v>
      </c>
      <c r="S108" s="1390" t="s">
        <v>347</v>
      </c>
      <c r="T108" s="1390" t="s">
        <v>359</v>
      </c>
      <c r="U108" s="1390" t="s">
        <v>360</v>
      </c>
      <c r="V108" s="1390" t="s">
        <v>361</v>
      </c>
      <c r="W108" s="1390" t="s">
        <v>362</v>
      </c>
      <c r="X108" s="1390" t="s">
        <v>363</v>
      </c>
      <c r="Y108" s="1390" t="s">
        <v>364</v>
      </c>
    </row>
    <row r="109" spans="13:25" x14ac:dyDescent="0.2">
      <c r="M109" s="1415">
        <f t="shared" si="8"/>
        <v>1.0000000000000007</v>
      </c>
      <c r="N109" s="1400">
        <f t="shared" si="7"/>
        <v>0.99999988746482527</v>
      </c>
      <c r="Q109" s="1391" t="s">
        <v>352</v>
      </c>
      <c r="R109" s="1391">
        <v>-7546266.2666666638</v>
      </c>
      <c r="S109" s="1391">
        <v>347218.94107144978</v>
      </c>
      <c r="T109" s="1391">
        <v>-21.733452222912614</v>
      </c>
      <c r="U109" s="1391">
        <v>1.1015256825256942E-7</v>
      </c>
      <c r="V109" s="1391">
        <v>-8367308.5953365797</v>
      </c>
      <c r="W109" s="1391">
        <v>-6725223.9379967479</v>
      </c>
      <c r="X109" s="1391">
        <v>-8367308.5953365797</v>
      </c>
      <c r="Y109" s="1391">
        <v>-6725223.9379967479</v>
      </c>
    </row>
    <row r="110" spans="13:25" ht="13.5" thickBot="1" x14ac:dyDescent="0.25">
      <c r="Q110" s="1389" t="s">
        <v>365</v>
      </c>
      <c r="R110" s="1389">
        <v>3753.7333333333322</v>
      </c>
      <c r="S110" s="1389">
        <v>172.40251029365982</v>
      </c>
      <c r="T110" s="1389">
        <v>21.773078170030438</v>
      </c>
      <c r="U110" s="1389">
        <v>1.0877487663116294E-7</v>
      </c>
      <c r="V110" s="1389">
        <v>3346.0661764574693</v>
      </c>
      <c r="W110" s="1389">
        <v>4161.4004902091947</v>
      </c>
      <c r="X110" s="1389">
        <v>3346.0661764574693</v>
      </c>
      <c r="Y110" s="138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2" workbookViewId="0">
      <selection activeCell="AQ32" sqref="AQ32"/>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242"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138</v>
      </c>
      <c r="L2" s="25" t="s">
        <v>94</v>
      </c>
      <c r="Y2" s="25" t="s">
        <v>85</v>
      </c>
      <c r="AK2" s="25" t="s">
        <v>85</v>
      </c>
      <c r="AL2" s="22"/>
    </row>
    <row r="3" spans="1:50" x14ac:dyDescent="0.25">
      <c r="A3" s="22" t="s">
        <v>413</v>
      </c>
      <c r="D3" s="22" t="s">
        <v>414</v>
      </c>
      <c r="L3" s="25" t="s">
        <v>85</v>
      </c>
      <c r="Y3" s="25" t="s">
        <v>88</v>
      </c>
      <c r="AD3" s="22" t="s">
        <v>106</v>
      </c>
      <c r="AK3" s="25" t="s">
        <v>88</v>
      </c>
      <c r="AL3" s="22"/>
    </row>
    <row r="4" spans="1:50" x14ac:dyDescent="0.25">
      <c r="L4" s="25" t="s">
        <v>88</v>
      </c>
      <c r="Y4" s="26" t="s">
        <v>78</v>
      </c>
      <c r="Z4" s="27">
        <v>2</v>
      </c>
      <c r="AA4" s="22" t="s">
        <v>86</v>
      </c>
      <c r="AD4" s="28">
        <v>2.8</v>
      </c>
      <c r="AE4" s="503">
        <v>2</v>
      </c>
      <c r="AF4" s="28">
        <v>3</v>
      </c>
      <c r="AK4" s="26" t="s">
        <v>78</v>
      </c>
      <c r="AL4" s="27">
        <v>4</v>
      </c>
    </row>
    <row r="5" spans="1:50" x14ac:dyDescent="0.25">
      <c r="A5" s="22" t="s">
        <v>78</v>
      </c>
      <c r="B5" s="27">
        <v>4</v>
      </c>
      <c r="C5" s="22" t="s">
        <v>411</v>
      </c>
      <c r="F5"/>
      <c r="G5"/>
      <c r="L5" s="25" t="s">
        <v>78</v>
      </c>
      <c r="M5" s="27">
        <v>7</v>
      </c>
      <c r="O5" s="27">
        <v>3</v>
      </c>
      <c r="P5" s="22" t="s">
        <v>86</v>
      </c>
      <c r="Y5" s="26" t="s">
        <v>79</v>
      </c>
      <c r="Z5" s="27">
        <v>0.6</v>
      </c>
      <c r="AA5" s="22" t="s">
        <v>87</v>
      </c>
      <c r="AD5" s="28">
        <v>0.56999999999999995</v>
      </c>
      <c r="AE5" s="504">
        <v>0.6</v>
      </c>
      <c r="AF5" s="28">
        <v>0.7</v>
      </c>
      <c r="AK5" s="26" t="s">
        <v>79</v>
      </c>
      <c r="AL5" s="27">
        <v>0.6</v>
      </c>
    </row>
    <row r="6" spans="1:50" x14ac:dyDescent="0.25">
      <c r="A6" s="22" t="s">
        <v>79</v>
      </c>
      <c r="B6" s="27">
        <v>1</v>
      </c>
      <c r="C6" s="22" t="s">
        <v>412</v>
      </c>
      <c r="F6"/>
      <c r="G6"/>
      <c r="L6" s="25" t="s">
        <v>79</v>
      </c>
      <c r="M6" s="27">
        <v>0.8</v>
      </c>
      <c r="O6" s="27">
        <v>0.56999999999999995</v>
      </c>
      <c r="P6" s="22" t="s">
        <v>87</v>
      </c>
      <c r="Y6" s="26" t="s">
        <v>101</v>
      </c>
      <c r="Z6" s="27">
        <v>1</v>
      </c>
      <c r="AA6" s="22" t="s">
        <v>96</v>
      </c>
      <c r="AD6" s="28">
        <v>1</v>
      </c>
      <c r="AE6" s="504">
        <v>1</v>
      </c>
      <c r="AF6" s="28">
        <v>1</v>
      </c>
      <c r="AK6" s="26" t="s">
        <v>101</v>
      </c>
      <c r="AL6" s="27">
        <v>1</v>
      </c>
    </row>
    <row r="7" spans="1:50" x14ac:dyDescent="0.25">
      <c r="L7" s="25" t="s">
        <v>97</v>
      </c>
      <c r="M7" s="27">
        <v>1</v>
      </c>
      <c r="O7" s="27">
        <v>1</v>
      </c>
      <c r="P7" s="22" t="s">
        <v>96</v>
      </c>
      <c r="AE7" s="29" t="s">
        <v>186</v>
      </c>
      <c r="AK7" s="25"/>
      <c r="AL7" s="22"/>
    </row>
    <row r="8" spans="1:50" s="31" customFormat="1" ht="45" x14ac:dyDescent="0.25">
      <c r="A8" s="30" t="s">
        <v>80</v>
      </c>
      <c r="B8" s="30" t="s">
        <v>416</v>
      </c>
      <c r="C8" s="31" t="s">
        <v>417</v>
      </c>
      <c r="D8" s="31" t="s">
        <v>415</v>
      </c>
      <c r="L8" s="32" t="s">
        <v>90</v>
      </c>
      <c r="M8" s="30" t="s">
        <v>139</v>
      </c>
      <c r="N8" s="30" t="s">
        <v>91</v>
      </c>
      <c r="O8" s="30" t="s">
        <v>89</v>
      </c>
      <c r="Y8" s="32" t="s">
        <v>99</v>
      </c>
      <c r="Z8" s="30" t="s">
        <v>98</v>
      </c>
      <c r="AJ8"/>
      <c r="AK8" s="1467" t="s">
        <v>3</v>
      </c>
      <c r="AL8" s="1465" t="s">
        <v>3</v>
      </c>
      <c r="AM8" s="30" t="s">
        <v>98</v>
      </c>
      <c r="AN8" s="1468" t="s">
        <v>436</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242">
        <v>2020</v>
      </c>
      <c r="AN9" s="1469">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242">
        <v>2021</v>
      </c>
      <c r="AN10" s="1469">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242">
        <v>2022</v>
      </c>
      <c r="AN11" s="1469">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242">
        <v>2023</v>
      </c>
      <c r="AN12" s="1469">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242">
        <v>2024</v>
      </c>
      <c r="AN13" s="1469">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242">
        <v>2025</v>
      </c>
      <c r="AN14" s="1469">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242">
        <v>2026</v>
      </c>
      <c r="AN15" s="1469">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242">
        <v>2027</v>
      </c>
      <c r="AN16" s="1469">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242">
        <v>2028</v>
      </c>
      <c r="AN17" s="1469">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242">
        <v>2029</v>
      </c>
      <c r="AN18" s="1469">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242">
        <v>2030</v>
      </c>
      <c r="AN19" s="1469">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 t="shared" si="1"/>
        <v>0.43159062049319474</v>
      </c>
      <c r="AK20" s="1242">
        <v>2031</v>
      </c>
      <c r="AN20" s="1469">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242">
        <v>2032</v>
      </c>
      <c r="AN21" s="1469">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242">
        <v>2033</v>
      </c>
      <c r="AN22" s="1469">
        <f t="shared" si="5"/>
        <v>2</v>
      </c>
      <c r="AX22"/>
    </row>
    <row r="23" spans="1:50" ht="15" customHeight="1" x14ac:dyDescent="0.25">
      <c r="A23" s="22">
        <v>14</v>
      </c>
      <c r="B23" s="22">
        <f t="shared" si="2"/>
        <v>0.99995460213129761</v>
      </c>
      <c r="C23" s="22">
        <v>0.99995460213129761</v>
      </c>
      <c r="D23" s="22">
        <v>1</v>
      </c>
      <c r="E23" s="1462"/>
      <c r="F23" s="1462"/>
      <c r="G23" s="1462" t="s">
        <v>137</v>
      </c>
      <c r="H23" s="1462"/>
      <c r="I23" s="1462"/>
      <c r="J23" s="1462"/>
      <c r="L23" s="25">
        <v>0.375</v>
      </c>
      <c r="M23" s="22">
        <f t="shared" si="3"/>
        <v>0.9950396809351163</v>
      </c>
      <c r="N23" s="22">
        <f t="shared" si="4"/>
        <v>-0.625</v>
      </c>
      <c r="O23" s="22">
        <f t="shared" si="0"/>
        <v>0.26758881673355606</v>
      </c>
      <c r="Y23" s="35">
        <v>0.7</v>
      </c>
      <c r="Z23" s="34">
        <f t="shared" si="1"/>
        <v>0.25637575668641222</v>
      </c>
      <c r="AK23" s="1242">
        <v>2034</v>
      </c>
      <c r="AN23" s="1469">
        <f>AN24</f>
        <v>2</v>
      </c>
      <c r="AX23"/>
    </row>
    <row r="24" spans="1:50" x14ac:dyDescent="0.25">
      <c r="A24" s="22">
        <v>15</v>
      </c>
      <c r="B24" s="22">
        <f t="shared" si="2"/>
        <v>0.99998329857815205</v>
      </c>
      <c r="C24" s="22">
        <v>0.99998329857815205</v>
      </c>
      <c r="D24" s="1462">
        <v>1</v>
      </c>
      <c r="E24" s="1462"/>
      <c r="F24" s="1462"/>
      <c r="G24" s="1462"/>
      <c r="H24" s="1462"/>
      <c r="I24" s="1462"/>
      <c r="J24" s="1462"/>
      <c r="L24" s="25">
        <v>0.4</v>
      </c>
      <c r="M24" s="22">
        <f t="shared" si="3"/>
        <v>0.99221793826024351</v>
      </c>
      <c r="N24" s="22">
        <f t="shared" si="4"/>
        <v>-0.6</v>
      </c>
      <c r="O24" s="22">
        <f t="shared" si="0"/>
        <v>0.31150160758012346</v>
      </c>
      <c r="Y24" s="35">
        <v>0.75</v>
      </c>
      <c r="Z24" s="34">
        <f t="shared" si="1"/>
        <v>0.20961138715109784</v>
      </c>
      <c r="AK24" s="1242">
        <v>2035</v>
      </c>
      <c r="AL24" s="1466">
        <f t="shared" ref="AL24:AL39" si="6">(AK24-$AK$24)/15</f>
        <v>0</v>
      </c>
      <c r="AM24" s="34">
        <f t="shared" ref="AM24:AM39" si="7">WEIBULL(AL24,AL$4,AL$5,1)</f>
        <v>0</v>
      </c>
      <c r="AN24" s="1469">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242">
        <v>2036</v>
      </c>
      <c r="AL25" s="1466">
        <f t="shared" si="6"/>
        <v>6.6666666666666666E-2</v>
      </c>
      <c r="AM25" s="34">
        <f t="shared" si="7"/>
        <v>1.5240417557940526E-4</v>
      </c>
      <c r="AN25" s="1469">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242">
        <v>2037</v>
      </c>
      <c r="AL26" s="1466">
        <f t="shared" si="6"/>
        <v>0.13333333333333333</v>
      </c>
      <c r="AM26" s="34">
        <f t="shared" si="7"/>
        <v>2.4356815467030703E-3</v>
      </c>
      <c r="AN26" s="1469">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242">
        <v>2038</v>
      </c>
      <c r="AL27" s="1466">
        <f t="shared" si="6"/>
        <v>0.2</v>
      </c>
      <c r="AM27" s="34">
        <f t="shared" si="7"/>
        <v>1.2269783764389463E-2</v>
      </c>
      <c r="AN27" s="1469">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242">
        <v>2039</v>
      </c>
      <c r="AL28" s="1466">
        <f t="shared" si="6"/>
        <v>0.26666666666666666</v>
      </c>
      <c r="AM28" s="34">
        <f t="shared" si="7"/>
        <v>3.826702759539987E-2</v>
      </c>
      <c r="AN28" s="1469">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242">
        <v>2040</v>
      </c>
      <c r="AL29" s="1466">
        <f t="shared" si="6"/>
        <v>0.33333333333333331</v>
      </c>
      <c r="AM29" s="34">
        <f t="shared" si="7"/>
        <v>9.0863352593165345E-2</v>
      </c>
      <c r="AN29" s="1469">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242">
        <v>2041</v>
      </c>
      <c r="AL30" s="1466">
        <f t="shared" si="6"/>
        <v>0.4</v>
      </c>
      <c r="AM30" s="34">
        <f t="shared" si="7"/>
        <v>0.17924519170173203</v>
      </c>
      <c r="AN30" s="1469">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242">
        <v>2042</v>
      </c>
      <c r="AL31" s="1466">
        <f t="shared" si="6"/>
        <v>0.46666666666666667</v>
      </c>
      <c r="AM31" s="34">
        <f t="shared" si="7"/>
        <v>0.30646273948068542</v>
      </c>
      <c r="AN31" s="1469">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242">
        <v>2043</v>
      </c>
      <c r="AL32" s="1466">
        <f t="shared" si="6"/>
        <v>0.53333333333333333</v>
      </c>
      <c r="AM32" s="34">
        <f t="shared" si="7"/>
        <v>0.46436112035159544</v>
      </c>
      <c r="AN32" s="1469">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242">
        <v>2044</v>
      </c>
      <c r="AL33" s="1466">
        <f t="shared" si="6"/>
        <v>0.6</v>
      </c>
      <c r="AM33" s="34">
        <f t="shared" si="7"/>
        <v>0.63212055882855767</v>
      </c>
      <c r="AN33" s="1469">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242">
        <v>2045</v>
      </c>
      <c r="AL34" s="1466">
        <f t="shared" si="6"/>
        <v>0.66666666666666663</v>
      </c>
      <c r="AM34" s="34">
        <f t="shared" si="7"/>
        <v>0.78219560786090769</v>
      </c>
      <c r="AN34" s="1469">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242">
        <v>2046</v>
      </c>
      <c r="AL35" s="1466">
        <f t="shared" si="6"/>
        <v>0.73333333333333328</v>
      </c>
      <c r="AM35" s="34">
        <f t="shared" si="7"/>
        <v>0.89263484441361618</v>
      </c>
      <c r="AN35" s="1469">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242">
        <v>2047</v>
      </c>
      <c r="AL36" s="1466">
        <f t="shared" si="6"/>
        <v>0.8</v>
      </c>
      <c r="AM36" s="34">
        <f t="shared" si="7"/>
        <v>0.95759520473050741</v>
      </c>
      <c r="AN36" s="1469">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242">
        <v>2048</v>
      </c>
      <c r="AL37" s="1466">
        <f t="shared" si="6"/>
        <v>0.8666666666666667</v>
      </c>
      <c r="AM37" s="34">
        <f t="shared" si="7"/>
        <v>0.98713374628095452</v>
      </c>
      <c r="AN37" s="1469">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242">
        <v>2049</v>
      </c>
      <c r="AL38" s="1466">
        <f t="shared" si="6"/>
        <v>0.93333333333333335</v>
      </c>
      <c r="AM38" s="34">
        <f t="shared" si="7"/>
        <v>0.99713505177129269</v>
      </c>
      <c r="AN38" s="1469">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242">
        <v>2050</v>
      </c>
      <c r="AL39" s="1466">
        <f t="shared" si="6"/>
        <v>1</v>
      </c>
      <c r="AM39" s="34">
        <f t="shared" si="7"/>
        <v>0.99955438240440797</v>
      </c>
      <c r="AN39" s="1469">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232</vt:i4>
      </vt:variant>
    </vt:vector>
  </HeadingPairs>
  <TitlesOfParts>
    <vt:vector size="253"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Birky, Alicia</cp:lastModifiedBy>
  <cp:lastPrinted>2012-07-16T18:43:44Z</cp:lastPrinted>
  <dcterms:created xsi:type="dcterms:W3CDTF">2011-09-16T16:09:37Z</dcterms:created>
  <dcterms:modified xsi:type="dcterms:W3CDTF">2020-02-22T01:05:26Z</dcterms:modified>
</cp:coreProperties>
</file>